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1_Infos_fuer_Mitarbeiter\1_Formularpool\2_FEX Formulare Webseite\2_Netzkunden+Lieferanten\"/>
    </mc:Choice>
  </mc:AlternateContent>
  <xr:revisionPtr revIDLastSave="0" documentId="8_{743CB3B5-635F-4A6B-8BE2-470D82182498}" xr6:coauthVersionLast="47" xr6:coauthVersionMax="47" xr10:uidLastSave="{00000000-0000-0000-0000-000000000000}"/>
  <bookViews>
    <workbookView xWindow="2868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W25" i="7"/>
  <c r="V25" i="7"/>
  <c r="U25" i="7"/>
  <c r="T25" i="7"/>
  <c r="S25" i="7"/>
  <c r="R25" i="7"/>
  <c r="W26" i="7"/>
  <c r="V26" i="7"/>
  <c r="U26" i="7"/>
  <c r="T26" i="7"/>
  <c r="S26" i="7"/>
  <c r="R26" i="7"/>
  <c r="X25" i="7" l="1"/>
  <c r="X26" i="7"/>
  <c r="F61" i="17"/>
  <c r="G61" i="17"/>
  <c r="H61" i="17"/>
  <c r="I61" i="17"/>
  <c r="J61" i="17"/>
  <c r="K61" i="17"/>
  <c r="L61" i="17"/>
  <c r="M61" i="17"/>
  <c r="N61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63" i="18" l="1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L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K21" i="18" l="1"/>
  <c r="E21" i="18" s="1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I55" i="18"/>
  <c r="F70" i="17"/>
  <c r="G70" i="17"/>
  <c r="H70" i="17"/>
  <c r="I70" i="17"/>
  <c r="J70" i="17"/>
  <c r="K70" i="17"/>
  <c r="L70" i="17"/>
  <c r="M70" i="17"/>
  <c r="N70" i="17"/>
  <c r="E70" i="17"/>
  <c r="M55" i="18" l="1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2" i="7"/>
  <c r="V12" i="7"/>
  <c r="U12" i="7"/>
  <c r="T12" i="7"/>
  <c r="S12" i="7"/>
  <c r="R12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3" i="7"/>
  <c r="T13" i="7"/>
  <c r="U13" i="7"/>
  <c r="V13" i="7"/>
  <c r="W13" i="7"/>
  <c r="R13" i="7"/>
  <c r="X13" i="7" l="1"/>
  <c r="X22" i="7"/>
  <c r="X14" i="7"/>
  <c r="X12" i="7"/>
  <c r="X24" i="7"/>
  <c r="X21" i="7"/>
  <c r="X17" i="7"/>
  <c r="X16" i="7"/>
  <c r="X18" i="7"/>
  <c r="X23" i="7"/>
  <c r="X19" i="7"/>
  <c r="X15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0" i="7" s="1"/>
  <c r="H21" i="4"/>
  <c r="V20" i="7" s="1"/>
  <c r="G21" i="4"/>
  <c r="U20" i="7" s="1"/>
  <c r="F21" i="4"/>
  <c r="T20" i="7" s="1"/>
  <c r="E21" i="4"/>
  <c r="S20" i="7" s="1"/>
  <c r="D21" i="4"/>
  <c r="R20" i="7" s="1"/>
  <c r="M20" i="4"/>
  <c r="M19" i="4"/>
  <c r="M16" i="4"/>
  <c r="M18" i="4"/>
  <c r="M17" i="4"/>
  <c r="M15" i="4"/>
  <c r="M14" i="4"/>
  <c r="M13" i="4"/>
  <c r="M12" i="4"/>
  <c r="M11" i="4"/>
  <c r="X20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25" i="7" l="1"/>
  <c r="M26" i="7"/>
  <c r="K26" i="7"/>
  <c r="F26" i="7"/>
  <c r="K25" i="7"/>
  <c r="J26" i="7"/>
  <c r="J25" i="7"/>
  <c r="I25" i="7"/>
  <c r="H26" i="7"/>
  <c r="H25" i="7"/>
  <c r="P26" i="7"/>
  <c r="P25" i="7"/>
  <c r="F25" i="7"/>
  <c r="O26" i="7"/>
  <c r="F12" i="7"/>
  <c r="N26" i="7"/>
  <c r="N25" i="7"/>
  <c r="M25" i="7"/>
  <c r="I26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M13" i="7"/>
  <c r="I13" i="7"/>
  <c r="N12" i="7"/>
  <c r="L12" i="7"/>
  <c r="H12" i="7"/>
  <c r="I14" i="7"/>
  <c r="L15" i="7"/>
  <c r="K16" i="7"/>
  <c r="N17" i="7"/>
  <c r="M18" i="7"/>
  <c r="L19" i="7"/>
  <c r="K20" i="7"/>
  <c r="J21" i="7"/>
  <c r="I22" i="7"/>
  <c r="H23" i="7"/>
  <c r="P23" i="7"/>
  <c r="O24" i="7"/>
  <c r="O13" i="7"/>
  <c r="P12" i="7"/>
  <c r="N14" i="7"/>
  <c r="I15" i="7"/>
  <c r="H16" i="7"/>
  <c r="P16" i="7"/>
  <c r="O17" i="7"/>
  <c r="N18" i="7"/>
  <c r="M19" i="7"/>
  <c r="L20" i="7"/>
  <c r="K21" i="7"/>
  <c r="J22" i="7"/>
  <c r="I23" i="7"/>
  <c r="H24" i="7"/>
  <c r="P24" i="7"/>
  <c r="P13" i="7"/>
  <c r="M12" i="7"/>
  <c r="H14" i="7"/>
  <c r="L14" i="7"/>
  <c r="P14" i="7"/>
  <c r="K15" i="7"/>
  <c r="O15" i="7"/>
  <c r="J16" i="7"/>
  <c r="N16" i="7"/>
  <c r="I17" i="7"/>
  <c r="M17" i="7"/>
  <c r="H18" i="7"/>
  <c r="L18" i="7"/>
  <c r="P18" i="7"/>
  <c r="K19" i="7"/>
  <c r="O19" i="7"/>
  <c r="J20" i="7"/>
  <c r="N20" i="7"/>
  <c r="I21" i="7"/>
  <c r="M21" i="7"/>
  <c r="H22" i="7"/>
  <c r="L22" i="7"/>
  <c r="P22" i="7"/>
  <c r="K23" i="7"/>
  <c r="O23" i="7"/>
  <c r="J24" i="7"/>
  <c r="N24" i="7"/>
  <c r="N13" i="7"/>
  <c r="J13" i="7"/>
  <c r="O12" i="7"/>
  <c r="J12" i="7"/>
  <c r="M14" i="7"/>
  <c r="H15" i="7"/>
  <c r="P15" i="7"/>
  <c r="O16" i="7"/>
  <c r="J17" i="7"/>
  <c r="I18" i="7"/>
  <c r="H19" i="7"/>
  <c r="P19" i="7"/>
  <c r="O20" i="7"/>
  <c r="N21" i="7"/>
  <c r="M22" i="7"/>
  <c r="L23" i="7"/>
  <c r="K24" i="7"/>
  <c r="K13" i="7"/>
  <c r="K12" i="7"/>
  <c r="J14" i="7"/>
  <c r="M15" i="7"/>
  <c r="L16" i="7"/>
  <c r="K17" i="7"/>
  <c r="J18" i="7"/>
  <c r="I19" i="7"/>
  <c r="H20" i="7"/>
  <c r="P20" i="7"/>
  <c r="O21" i="7"/>
  <c r="N22" i="7"/>
  <c r="M23" i="7"/>
  <c r="L24" i="7"/>
  <c r="L13" i="7"/>
  <c r="H13" i="7"/>
  <c r="I12" i="7"/>
  <c r="F24" i="7"/>
  <c r="F22" i="7"/>
  <c r="F20" i="7"/>
  <c r="F18" i="7"/>
  <c r="F16" i="7"/>
  <c r="F13" i="7"/>
  <c r="F23" i="7"/>
  <c r="F21" i="7"/>
  <c r="F19" i="7"/>
  <c r="F17" i="7"/>
  <c r="F15" i="7"/>
  <c r="F14" i="7"/>
  <c r="M8" i="4"/>
  <c r="M7" i="4"/>
  <c r="C5" i="1"/>
  <c r="D6" i="15"/>
  <c r="D6" i="7"/>
  <c r="Q25" i="7" l="1"/>
  <c r="Q26" i="7"/>
  <c r="Q19" i="7"/>
  <c r="Q14" i="7"/>
  <c r="Q16" i="7"/>
  <c r="Q12" i="7"/>
  <c r="Q21" i="7"/>
  <c r="Q13" i="7"/>
  <c r="Q17" i="7"/>
  <c r="Q22" i="7"/>
  <c r="Q23" i="7"/>
  <c r="Q20" i="7"/>
  <c r="Q15" i="7"/>
  <c r="Q18" i="7"/>
  <c r="Q24" i="7"/>
  <c r="C42" i="7"/>
  <c r="C30" i="7"/>
  <c r="C21" i="7"/>
  <c r="C15" i="7"/>
  <c r="C13" i="7"/>
  <c r="C20" i="7"/>
  <c r="C32" i="7"/>
  <c r="C33" i="7"/>
  <c r="C17" i="7"/>
  <c r="C26" i="7"/>
  <c r="C29" i="7"/>
  <c r="C35" i="7"/>
  <c r="C16" i="7"/>
  <c r="C40" i="7"/>
  <c r="C37" i="7"/>
  <c r="C18" i="7"/>
  <c r="C34" i="7"/>
  <c r="C23" i="7"/>
  <c r="C39" i="7"/>
  <c r="C28" i="7"/>
  <c r="C31" i="7"/>
  <c r="C14" i="7"/>
  <c r="C24" i="7"/>
  <c r="C19" i="7"/>
  <c r="C36" i="7"/>
  <c r="C22" i="7"/>
  <c r="C41" i="7"/>
  <c r="C25" i="7"/>
  <c r="C3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<sst xmlns="http://schemas.openxmlformats.org/spreadsheetml/2006/main" count="1397" uniqueCount="676">
  <si>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</si>
  <si>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</si>
  <si>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</si>
  <si>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</si>
  <si>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</si>
  <si>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</si>
  <si>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</si>
  <si>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</si>
  <si>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</si>
  <si>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</si>
  <si>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</si>
  <si>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</si>
  <si>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</si>
  <si>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</si>
  <si>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</si>
  <si>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</si>
  <si>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</si>
  <si>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</si>
  <si>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</si>
  <si>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</si>
  <si>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</si>
  <si>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</si>
  <si>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</si>
  <si>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</si>
  <si>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</si>
  <si>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</si>
  <si>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</si>
  <si>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</si>
  <si>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</si>
  <si>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</si>
  <si>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</si>
  <si>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</si>
  <si>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</si>
  <si>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</si>
  <si>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</si>
  <si>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</si>
  <si>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</si>
  <si>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</si>
  <si>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</si>
  <si>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</si>
  <si>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</si>
  <si>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</si>
  <si>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</si>
  <si>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</si>
  <si>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</si>
  <si>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</si>
  <si>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</si>
  <si>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</si>
  <si>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</si>
  <si>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</si>
  <si>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</si>
  <si>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</si>
  <si>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</si>
  <si>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</si>
  <si>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</si>
  <si>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</si>
  <si>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</si>
  <si>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</si>
  <si>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</si>
  <si>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</si>
  <si>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</si>
  <si>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</si>
  <si>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</si>
  <si>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</si>
  <si>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</si>
  <si>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</si>
  <si>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</si>
  <si>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</si>
  <si>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</si>
  <si>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</si>
  <si>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</si>
  <si>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</si>
  <si>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</si>
  <si>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</si>
  <si>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</si>
  <si>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</si>
  <si>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</si>
  <si>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</si>
  <si>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</si>
  <si>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</si>
  <si>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</si>
  <si>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</si>
  <si>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</si>
  <si>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</si>
  <si>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</si>
  <si>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</si>
  <si>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</si>
  <si>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</si>
  <si>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</si>
  <si>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</si>
  <si>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</si>
  <si>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</si>
  <si>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</si>
  <si>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</si>
  <si>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</si>
  <si>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</si>
  <si>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</si>
  <si>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</si>
  <si>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</si>
  <si>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</si>
  <si>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</si>
  <si>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</si>
  <si>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</si>
  <si>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</si>
  <si>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</si>
  <si>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</si>
  <si>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</si>
  <si>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</si>
  <si>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</si>
  <si>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</si>
  <si>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</si>
  <si>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</si>
  <si>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</si>
  <si>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</si>
  <si>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</si>
  <si>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</si>
  <si>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</si>
  <si>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</si>
  <si>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</si>
  <si>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</si>
  <si>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</si>
  <si>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</si>
  <si>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</si>
  <si>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</si>
  <si>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</si>
  <si>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</si>
  <si>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</si>
  <si>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</si>
  <si>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</si>
  <si>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</si>
  <si>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</si>
  <si>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</si>
  <si>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</si>
  <si>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</si>
  <si>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</si>
  <si>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</si>
  <si>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</si>
  <si>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</si>
  <si>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</si>
  <si>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</si>
  <si>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</si>
  <si>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</si>
  <si>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</si>
  <si>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</si>
  <si>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</si>
  <si>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</si>
  <si>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</si>
  <si>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</si>
  <si>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</si>
  <si>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</si>
  <si>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</si>
  <si>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</si>
  <si>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</si>
  <si>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</si>
  <si>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</si>
  <si>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</si>
  <si>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</si>
  <si>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</si>
  <si>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</si>
  <si>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</si>
  <si>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</si>
  <si>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</si>
  <si>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</si>
  <si>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</si>
  <si>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</si>
  <si>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</si>
  <si>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</si>
  <si>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</si>
  <si>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</si>
  <si>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</si>
  <si>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</si>
  <si>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</si>
  <si>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</si>
  <si>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</si>
  <si>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</si>
  <si>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</si>
  <si>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</si>
  <si>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</si>
  <si>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</si>
  <si>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</si>
  <si>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</si>
  <si>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</si>
  <si>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</si>
  <si>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</si>
  <si>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</si>
  <si>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</si>
  <si>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</si>
  <si>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</si>
  <si>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</si>
  <si>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</si>
  <si>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</si>
  <si>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</si>
  <si>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</si>
  <si>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</si>
  <si>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</si>
  <si>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</si>
  <si>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</si>
  <si>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</si>
  <si>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</si>
  <si>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</si>
  <si>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</si>
  <si>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</si>
  <si>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</si>
  <si>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</si>
  <si>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</si>
  <si>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</si>
  <si>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</si>
  <si>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</si>
  <si>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</si>
  <si>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</si>
  <si>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</si>
  <si>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</si>
  <si>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</si>
  <si>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</si>
  <si>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</si>
  <si>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</si>
  <si>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</si>
  <si>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</si>
  <si>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</si>
  <si>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</si>
  <si>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</si>
  <si>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</si>
  <si>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</si>
  <si>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</si>
  <si>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</si>
  <si>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</si>
  <si>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</si>
  <si>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</si>
  <si>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</si>
  <si>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</si>
  <si>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</si>
  <si>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</si>
  <si>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</si>
  <si>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</si>
  <si>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</si>
  <si>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</si>
  <si>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</si>
  <si>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</si>
  <si>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</si>
  <si>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</si>
  <si>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</si>
  <si>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</si>
  <si>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</si>
  <si>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</si>
  <si>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</si>
  <si>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</si>
  <si>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</si>
  <si>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</si>
  <si>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</si>
  <si>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</si>
  <si>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</si>
  <si>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</si>
  <si>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</si>
  <si>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</si>
  <si>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</si>
  <si>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</si>
  <si>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</si>
  <si>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</si>
  <si>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</si>
  <si>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</si>
  <si>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</si>
  <si>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</si>
  <si>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</si>
  <si>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</si>
  <si>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</si>
  <si>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</si>
  <si>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</si>
  <si>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</si>
  <si>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</si>
  <si>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</si>
  <si>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</si>
  <si>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</si>
  <si>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</si>
  <si>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</si>
  <si>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</si>
  <si>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</si>
  <si>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</si>
  <si>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</si>
  <si>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</si>
  <si>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</si>
  <si>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</si>
  <si>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</si>
  <si>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</si>
  <si>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</si>
  <si>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</si>
  <si>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</si>
  <si>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</si>
  <si>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</si>
  <si>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</si>
  <si>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</si>
  <si>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</si>
  <si>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</si>
  <si>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</si>
  <si>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</si>
  <si>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</si>
  <si>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</si>
  <si>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</si>
  <si>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</si>
  <si>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</si>
  <si>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</si>
  <si>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</si>
  <si>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</si>
  <si>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</si>
  <si>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</si>
  <si>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</si>
  <si>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</si>
  <si>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</si>
  <si>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</si>
  <si>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</si>
  <si>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</si>
  <si>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</si>
  <si>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</si>
  <si>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</si>
  <si>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</si>
  <si>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</si>
  <si>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</si>
  <si>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</si>
  <si>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</si>
  <si>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</si>
  <si>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</si>
  <si>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</si>
  <si>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</si>
  <si>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</si>
  <si>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</si>
  <si>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</si>
  <si>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</si>
  <si>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</si>
  <si>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</si>
  <si>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</si>
  <si>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</si>
  <si>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</si>
  <si>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</si>
  <si>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</si>
  <si>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</si>
  <si>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</si>
  <si>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</si>
  <si>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</si>
  <si>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</si>
  <si>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</si>
  <si>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</si>
  <si>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</si>
  <si>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</si>
  <si>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</si>
  <si>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</si>
  <si>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</si>
  <si>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</si>
  <si>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</si>
  <si>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</si>
  <si>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</si>
  <si>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</si>
  <si>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</si>
  <si>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</si>
  <si>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</si>
  <si>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</si>
  <si>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</si>
  <si>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</si>
  <si>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</si>
  <si>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</si>
  <si>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</si>
  <si>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</si>
  <si>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</si>
  <si>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</si>
  <si>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</si>
  <si>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</si>
  <si>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</si>
  <si>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</si>
  <si>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</si>
  <si>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</si>
  <si>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</si>
  <si>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</si>
  <si>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</si>
  <si>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</si>
  <si>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</si>
  <si>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</si>
  <si>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</si>
  <si>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</si>
  <si>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</si>
  <si>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</si>
  <si>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</si>
  <si>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</si>
  <si>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</si>
  <si>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</si>
  <si>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</si>
  <si>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</si>
  <si>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</si>
  <si>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</si>
  <si>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</si>
  <si>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</si>
  <si>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</si>
  <si>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</si>
  <si>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</si>
  <si>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</si>
  <si>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</si>
  <si>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</si>
  <si>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</si>
  <si>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</si>
  <si>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</si>
  <si>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</si>
  <si>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</si>
  <si>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</si>
  <si>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</si>
  <si>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</si>
  <si>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</si>
  <si>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</si>
  <si>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</si>
  <si>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</si>
  <si>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</si>
  <si>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</si>
  <si>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</si>
  <si>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</si>
  <si>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</si>
  <si>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</si>
  <si>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</si>
  <si>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</si>
  <si>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</si>
  <si>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</si>
  <si>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</si>
  <si>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</si>
  <si>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</si>
  <si>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</si>
  <si>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</si>
  <si>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</si>
  <si>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</si>
  <si>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</si>
  <si>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</si>
  <si>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</si>
  <si>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</si>
  <si>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</si>
  <si>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</si>
  <si>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</si>
  <si>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</si>
  <si>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</si>
  <si>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</si>
  <si>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</si>
  <si>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</si>
  <si>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</si>
  <si>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</si>
  <si>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</si>
  <si>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</si>
  <si>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</si>
  <si>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</si>
  <si>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</si>
  <si>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</si>
  <si>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</si>
  <si>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</si>
  <si>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</si>
  <si>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</si>
  <si>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</si>
  <si>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</si>
  <si>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</si>
  <si>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</si>
  <si>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</si>
  <si>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</si>
  <si>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</si>
  <si>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</si>
  <si>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</si>
  <si>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</si>
  <si>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</si>
  <si>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</si>
  <si>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</si>
  <si>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</si>
  <si>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</si>
  <si>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</si>
  <si>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</si>
  <si>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</si>
  <si>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</si>
  <si>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</si>
  <si>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</si>
  <si>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</si>
  <si>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</si>
  <si>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</si>
  <si>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</si>
  <si>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</si>
  <si>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</si>
  <si>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</si>
  <si>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</si>
  <si>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</si>
  <si>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</si>
  <si>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</si>
  <si>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</si>
  <si>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</si>
  <si>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</si>
  <si>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</si>
  <si>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</si>
  <si>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</si>
  <si>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</si>
  <si>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</si>
  <si>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</si>
  <si>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</si>
  <si>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</si>
  <si>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</si>
  <si>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</si>
  <si>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</si>
  <si>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</si>
  <si>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</si>
  <si>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</si>
  <si>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</si>
  <si>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</si>
  <si>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</si>
  <si>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</si>
  <si>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</si>
  <si>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</si>
  <si>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</si>
  <si>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</si>
  <si>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</si>
  <si>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</si>
  <si>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</si>
  <si>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</si>
  <si>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</si>
  <si>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</si>
  <si>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</si>
  <si>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</si>
  <si>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</si>
  <si>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</si>
  <si>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</si>
  <si>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</si>
  <si>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</si>
  <si>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</si>
  <si>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</si>
  <si>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</si>
  <si>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</si>
  <si>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</si>
  <si>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</si>
  <si>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</si>
  <si>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</si>
  <si>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</si>
  <si>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</si>
  <si>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</si>
  <si>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</si>
  <si>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</si>
  <si>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</si>
  <si>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</si>
  <si>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</si>
  <si>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</si>
  <si>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</si>
  <si>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</si>
  <si>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</si>
  <si>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</si>
  <si>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</si>
  <si>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</si>
  <si>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</si>
  <si>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</si>
  <si>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</si>
  <si>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</si>
  <si>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</si>
  <si>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</si>
  <si>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</si>
  <si>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</si>
  <si>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</si>
  <si>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</si>
  <si>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</si>
  <si>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</si>
  <si>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</si>
  <si>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</si>
  <si>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</si>
  <si>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</si>
  <si>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</si>
  <si>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</si>
  <si>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</si>
  <si>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</si>
  <si>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</si>
  <si>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</si>
  <si>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</si>
  <si>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</si>
  <si>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</si>
  <si>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</si>
  <si>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</si>
  <si>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</si>
  <si>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</si>
  <si>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</si>
  <si>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</si>
  <si>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</si>
  <si>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</si>
  <si>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</si>
  <si>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</si>
  <si>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</si>
  <si>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</si>
  <si>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</si>
  <si>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</si>
  <si>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</si>
  <si>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</si>
  <si>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</si>
  <si>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</si>
  <si>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</si>
  <si>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</si>
  <si>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</si>
  <si>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</si>
  <si>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</si>
  <si>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</si>
  <si>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</si>
  <si>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</si>
  <si>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</si>
  <si>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</si>
  <si>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</si>
  <si>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</si>
  <si>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</si>
  <si>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</si>
  <si>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</si>
  <si>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</si>
  <si>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</si>
  <si>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</si>
  <si>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</si>
  <si>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</si>
  <si>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</si>
  <si>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</si>
  <si>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</si>
  <si>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</si>
  <si>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</si>
  <si>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</si>
  <si>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</si>
  <si>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</si>
  <si>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</si>
  <si>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</si>
  <si>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</si>
  <si>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</si>
  <si>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</si>
  <si>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</si>
  <si>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</si>
  <si>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</si>
  <si>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</si>
  <si>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</si>
  <si>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</si>
  <si>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</si>
  <si>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</si>
  <si>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</si>
  <si>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</si>
  <si>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</si>
  <si>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</si>
  <si>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</si>
  <si>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</si>
  <si>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</si>
  <si>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</si>
  <si>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</si>
  <si>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</si>
  <si>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</si>
  <si>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</si>
  <si>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</si>
  <si>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</si>
  <si>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</si>
  <si>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</si>
  <si>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</si>
  <si>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</si>
  <si>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</si>
  <si>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</si>
  <si>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</si>
  <si>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</si>
  <si>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</si>
  <si>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</si>
  <si>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</si>
  <si>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</si>
  <si>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</si>
  <si>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</si>
  <si>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</si>
  <si>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</si>
  <si>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</si>
  <si>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</si>
  <si>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ENWG Energienetze Weimar GmbH &amp; Co. KG</t>
  </si>
  <si>
    <t>Industriestraße 14</t>
  </si>
  <si>
    <t>Weimar</t>
  </si>
  <si>
    <t>Nadin Möller</t>
  </si>
  <si>
    <t>netze@enwg-weimar.de</t>
  </si>
  <si>
    <t>03643 4341-637</t>
  </si>
  <si>
    <t>THE0NKH700783000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</si>
  <si>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</si>
  <si>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</si>
  <si>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</si>
  <si>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</si>
  <si>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</si>
  <si>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</si>
  <si>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</si>
  <si>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</si>
  <si>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</si>
  <si>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</si>
  <si>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</si>
  <si>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BTU EVU Rechenzentrum GmbH</t>
  </si>
  <si>
    <t>9870078300000xxxxxB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</si>
</sst>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5" fontId="79" fillId="34" borderId="24" xfId="3" applyNumberFormat="1" applyFont="1" applyFill="1" applyBorder="1" applyAlignment="1" applyProtection="1">
      <alignment horizontal="center" vertical="center"/>
    </xf>
    <xf numFmtId="165" fontId="79" fillId="34" borderId="70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7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12" fillId="37" borderId="0" xfId="3" applyFont="1" applyFill="1" applyBorder="1" applyAlignment="1" applyProtection="1">
      <alignment horizontal="center" vertical="center" wrapText="1"/>
    </xf>
    <xf numFmtId="0" fontId="76" fillId="37" borderId="0" xfId="3" applyFont="1" applyFill="1" applyBorder="1" applyAlignment="1" applyProtection="1">
      <alignment horizontal="center" vertical="center" wrapText="1"/>
    </xf>
    <xf numFmtId="0" fontId="12" fillId="37" borderId="41" xfId="3" applyFont="1" applyFill="1" applyBorder="1" applyAlignment="1" applyProtection="1">
      <alignment horizontal="center" vertical="center" wrapText="1"/>
    </xf>
    <xf numFmtId="165" fontId="79" fillId="34" borderId="0" xfId="3" applyNumberFormat="1" applyFont="1" applyFill="1" applyBorder="1" applyAlignment="1" applyProtection="1">
      <alignment horizontal="center" vertical="center"/>
    </xf>
    <xf numFmtId="0" fontId="80" fillId="34" borderId="0" xfId="3" applyNumberFormat="1" applyFont="1" applyFill="1" applyBorder="1" applyAlignment="1" applyProtection="1">
      <alignment horizontal="center" vertical="center"/>
    </xf>
    <xf numFmtId="10" fontId="78" fillId="35" borderId="0" xfId="0" applyNumberFormat="1" applyFont="1" applyFill="1" applyBorder="1" applyAlignment="1" applyProtection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</xf>
    <xf numFmtId="0" fontId="78" fillId="36" borderId="0" xfId="0" applyFont="1" applyFill="1" applyBorder="1" applyAlignment="1" applyProtection="1">
      <alignment horizontal="center" vertical="center" wrapText="1"/>
    </xf>
    <xf numFmtId="0" fontId="0" fillId="61" borderId="0" xfId="0" applyFont="1" applyFill="1" applyBorder="1" applyAlignment="1" applyProtection="1">
      <alignment horizontal="center" vertical="center"/>
    </xf>
    <xf numFmtId="0" fontId="86" fillId="37" borderId="73" xfId="3" applyFont="1" applyFill="1" applyBorder="1" applyAlignment="1" applyProtection="1">
      <alignment horizontal="center" vertical="center" wrapText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2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Neutral 2" xfId="73" xr:uid="{00000000-0005-0000-0000-00005A000000}"/>
    <cellStyle name="Neutral 2 2" xfId="128" xr:uid="{00000000-0005-0000-0000-00005B000000}"/>
    <cellStyle name="Notiz 2" xfId="74" xr:uid="{00000000-0005-0000-0000-00005C000000}"/>
    <cellStyle name="Notiz 2 2" xfId="75" xr:uid="{00000000-0005-0000-0000-00005D000000}"/>
    <cellStyle name="Notiz 2 3" xfId="76" xr:uid="{00000000-0005-0000-0000-00005E000000}"/>
    <cellStyle name="Notiz 3" xfId="77" xr:uid="{00000000-0005-0000-0000-00005F000000}"/>
    <cellStyle name="Notiz 4" xfId="78" xr:uid="{00000000-0005-0000-0000-000060000000}"/>
    <cellStyle name="Prozent 2" xfId="79" xr:uid="{00000000-0005-0000-0000-000061000000}"/>
    <cellStyle name="Prozent 2 2" xfId="112" xr:uid="{00000000-0005-0000-0000-000062000000}"/>
    <cellStyle name="Prozent 3" xfId="80" xr:uid="{00000000-0005-0000-0000-000063000000}"/>
    <cellStyle name="Prozent[1]" xfId="81" xr:uid="{00000000-0005-0000-0000-000064000000}"/>
    <cellStyle name="Prozent[2]" xfId="82" xr:uid="{00000000-0005-0000-0000-000065000000}"/>
    <cellStyle name="Schattiert" xfId="83" xr:uid="{00000000-0005-0000-0000-000066000000}"/>
    <cellStyle name="Schlecht 2" xfId="84" xr:uid="{00000000-0005-0000-0000-000067000000}"/>
    <cellStyle name="Schlecht 2 2" xfId="127" xr:uid="{00000000-0005-0000-0000-000068000000}"/>
    <cellStyle name="Standard" xfId="0" builtinId="0"/>
    <cellStyle name="Standard 2" xfId="85" xr:uid="{00000000-0005-0000-0000-00006A000000}"/>
    <cellStyle name="Standard 2 2" xfId="3" xr:uid="{00000000-0005-0000-0000-00006B000000}"/>
    <cellStyle name="Standard 2 2 2" xfId="119" xr:uid="{00000000-0005-0000-0000-00006C000000}"/>
    <cellStyle name="Standard 2 2 3" xfId="114" xr:uid="{00000000-0005-0000-0000-00006D000000}"/>
    <cellStyle name="Standard 2 3" xfId="86" xr:uid="{00000000-0005-0000-0000-00006E000000}"/>
    <cellStyle name="Standard 2 4" xfId="118" xr:uid="{00000000-0005-0000-0000-00006F000000}"/>
    <cellStyle name="Standard 2 5" xfId="113" xr:uid="{00000000-0005-0000-0000-000070000000}"/>
    <cellStyle name="Standard 3" xfId="87" xr:uid="{00000000-0005-0000-0000-000071000000}"/>
    <cellStyle name="Standard 3 2" xfId="88" xr:uid="{00000000-0005-0000-0000-000072000000}"/>
    <cellStyle name="Standard 3 2 2" xfId="89" xr:uid="{00000000-0005-0000-0000-000073000000}"/>
    <cellStyle name="Standard 3 2 2 2" xfId="121" xr:uid="{00000000-0005-0000-0000-000074000000}"/>
    <cellStyle name="Standard 3 3" xfId="90" xr:uid="{00000000-0005-0000-0000-000075000000}"/>
    <cellStyle name="Standard 3 3 2" xfId="120" xr:uid="{00000000-0005-0000-0000-000076000000}"/>
    <cellStyle name="Standard 3 4" xfId="115" xr:uid="{00000000-0005-0000-0000-000077000000}"/>
    <cellStyle name="Standard 4" xfId="91" xr:uid="{00000000-0005-0000-0000-000078000000}"/>
    <cellStyle name="Standard 4 2" xfId="92" xr:uid="{00000000-0005-0000-0000-000079000000}"/>
    <cellStyle name="Standard 4 2 2" xfId="149" xr:uid="{00000000-0005-0000-0000-00007A000000}"/>
    <cellStyle name="Standard 5" xfId="93" xr:uid="{00000000-0005-0000-0000-00007B000000}"/>
    <cellStyle name="Standard 5 2" xfId="150" xr:uid="{00000000-0005-0000-0000-00007C000000}"/>
    <cellStyle name="Standard 5 3" xfId="110" xr:uid="{00000000-0005-0000-0000-00007D000000}"/>
    <cellStyle name="Standard 6" xfId="117" xr:uid="{00000000-0005-0000-0000-00007E000000}"/>
    <cellStyle name="Summe" xfId="94" xr:uid="{00000000-0005-0000-0000-00007F000000}"/>
    <cellStyle name="test1" xfId="95" xr:uid="{00000000-0005-0000-0000-000080000000}"/>
    <cellStyle name="Überschrift" xfId="2" builtinId="15" customBuiltin="1"/>
    <cellStyle name="Überschrift 1 2" xfId="96" xr:uid="{00000000-0005-0000-0000-000082000000}"/>
    <cellStyle name="Überschrift 1 3" xfId="97" xr:uid="{00000000-0005-0000-0000-000083000000}"/>
    <cellStyle name="Überschrift 1 3 2" xfId="123" xr:uid="{00000000-0005-0000-0000-000084000000}"/>
    <cellStyle name="Überschrift 2 2" xfId="98" xr:uid="{00000000-0005-0000-0000-000085000000}"/>
    <cellStyle name="Überschrift 2 2 2" xfId="122" xr:uid="{00000000-0005-0000-0000-000086000000}"/>
    <cellStyle name="Überschrift 2 2 3" xfId="116" xr:uid="{00000000-0005-0000-0000-000087000000}"/>
    <cellStyle name="Überschrift 2 3" xfId="99" xr:uid="{00000000-0005-0000-0000-000088000000}"/>
    <cellStyle name="Überschrift 3 2" xfId="100" xr:uid="{00000000-0005-0000-0000-000089000000}"/>
    <cellStyle name="Überschrift 3 2 2" xfId="124" xr:uid="{00000000-0005-0000-0000-00008A000000}"/>
    <cellStyle name="Überschrift 4 2" xfId="101" xr:uid="{00000000-0005-0000-0000-00008B000000}"/>
    <cellStyle name="Überschrift 4 3" xfId="102" xr:uid="{00000000-0005-0000-0000-00008C000000}"/>
    <cellStyle name="Überschrift 4 3 2" xfId="125" xr:uid="{00000000-0005-0000-0000-00008D000000}"/>
    <cellStyle name="Überschrift 5" xfId="103" xr:uid="{00000000-0005-0000-0000-00008E000000}"/>
    <cellStyle name="Undefiniert" xfId="104" xr:uid="{00000000-0005-0000-0000-00008F000000}"/>
    <cellStyle name="verborgen" xfId="105" xr:uid="{00000000-0005-0000-0000-000090000000}"/>
    <cellStyle name="Verknüpfte Zelle 2" xfId="106" xr:uid="{00000000-0005-0000-0000-000091000000}"/>
    <cellStyle name="Verknüpfte Zelle 2 2" xfId="132" xr:uid="{00000000-0005-0000-0000-000092000000}"/>
    <cellStyle name="Whrung" xfId="107" xr:uid="{00000000-0005-0000-0000-000093000000}"/>
    <cellStyle name="Warnender Text 2" xfId="108" xr:uid="{00000000-0005-0000-0000-000094000000}"/>
    <cellStyle name="Warnender Text 2 2" xfId="134" xr:uid="{00000000-0005-0000-0000-000095000000}"/>
    <cellStyle name="Zelle überprüfen 2" xfId="109" xr:uid="{00000000-0005-0000-0000-000096000000}"/>
    <cellStyle name="Zelle überprüfen 2 2" xfId="133" xr:uid="{00000000-0005-0000-0000-000097000000}"/>
  </cellStyles>
  <dxfs count="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2</xdr:col>
      <xdr:colOff>1404779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e@enwg-weima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C12" sqref="C1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3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2">
        <v>9870078300000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99427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41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Weimar</v>
      </c>
      <c r="E28" s="38"/>
      <c r="F28" s="11"/>
      <c r="G28" s="2"/>
    </row>
    <row r="29" spans="1:15">
      <c r="B29" s="15"/>
      <c r="C29" s="22" t="s">
        <v>393</v>
      </c>
      <c r="D29" s="44" t="s">
        <v>658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75" priority="2">
      <formula>IF(CELL("Zeile",D29)&lt;$D$25+CELL("Zeile",$D$29),1,0)</formula>
    </cfRule>
  </conditionalFormatting>
  <conditionalFormatting sqref="D30:D48">
    <cfRule type="expression" dxfId="7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C39" sqref="C3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.2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ENWG Energienetze Weimar GmbH &amp; Co. KG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Weimar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>
        <f>Netzbetreiber!$D$11</f>
        <v>9870078300000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6" t="s">
        <v>615</v>
      </c>
      <c r="I11" s="276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652</v>
      </c>
      <c r="D13" s="42" t="s">
        <v>662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612</v>
      </c>
      <c r="D19" s="48" t="s">
        <v>608</v>
      </c>
      <c r="E19" s="15"/>
      <c r="H19" s="272" t="s">
        <v>608</v>
      </c>
      <c r="I19" s="272" t="s">
        <v>609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610</v>
      </c>
      <c r="E20" s="15"/>
      <c r="H20" s="272" t="s">
        <v>611</v>
      </c>
      <c r="I20" s="8" t="s">
        <v>607</v>
      </c>
      <c r="J20" s="8"/>
      <c r="K20" s="8"/>
      <c r="L20" s="273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2" t="s">
        <v>610</v>
      </c>
      <c r="I21" s="272" t="s">
        <v>617</v>
      </c>
      <c r="J21" s="8"/>
      <c r="K21" s="8"/>
      <c r="L21" s="275" t="s">
        <v>618</v>
      </c>
      <c r="M21" s="275" t="s">
        <v>620</v>
      </c>
      <c r="N21" s="275" t="s">
        <v>619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621</v>
      </c>
      <c r="D24" s="42" t="s">
        <v>622</v>
      </c>
      <c r="E24" s="15"/>
      <c r="H24" s="308" t="s">
        <v>622</v>
      </c>
      <c r="I24" s="274" t="s">
        <v>623</v>
      </c>
      <c r="J24" s="274" t="s">
        <v>624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625</v>
      </c>
      <c r="I25" s="275" t="s">
        <v>626</v>
      </c>
      <c r="J25" s="275" t="s">
        <v>627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628</v>
      </c>
      <c r="I26" s="275" t="s">
        <v>629</v>
      </c>
      <c r="J26" s="275" t="s">
        <v>630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631</v>
      </c>
      <c r="I29" s="275" t="s">
        <v>632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633</v>
      </c>
      <c r="I30" s="272" t="s">
        <v>628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14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658</v>
      </c>
    </row>
    <row r="46" spans="2:39" ht="18" customHeight="1">
      <c r="C46" s="22" t="s">
        <v>586</v>
      </c>
      <c r="D46" s="44"/>
    </row>
    <row r="47" spans="2:39" ht="18" customHeight="1">
      <c r="C47" s="22" t="s">
        <v>587</v>
      </c>
      <c r="D47" s="44"/>
    </row>
    <row r="48" spans="2:39" ht="18" customHeight="1">
      <c r="C48" s="22" t="s">
        <v>588</v>
      </c>
      <c r="D48" s="44"/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conditionalFormatting sqref="D13">
    <cfRule type="expression" dxfId="73" priority="20">
      <formula>IF(#REF!="Gaspool",1,0)</formula>
    </cfRule>
  </conditionalFormatting>
  <conditionalFormatting sqref="D45:D59">
    <cfRule type="expression" dxfId="72" priority="16">
      <formula>IF(CELL("Zeile",D45)&lt;$D$43+CELL("Zeile",$D$45),1,0)</formula>
    </cfRule>
  </conditionalFormatting>
  <conditionalFormatting sqref="D46:D59">
    <cfRule type="expression" dxfId="71" priority="15">
      <formula>IF(CELL(D46)&lt;$D$33+27,1,0)</formula>
    </cfRule>
  </conditionalFormatting>
  <conditionalFormatting sqref="D20">
    <cfRule type="expression" dxfId="70" priority="14">
      <formula>IF($D$19=$H$19,1,0)</formula>
    </cfRule>
  </conditionalFormatting>
  <conditionalFormatting sqref="D28">
    <cfRule type="expression" dxfId="69" priority="3">
      <formula>IF($D$15="synthetisch",1,0)</formula>
    </cfRule>
  </conditionalFormatting>
  <conditionalFormatting sqref="D25">
    <cfRule type="expression" dxfId="68" priority="1">
      <formula>IF(AND($D$24=$I$24,$D$23=$H$23),1,0)</formula>
    </cfRule>
  </conditionalFormatting>
  <conditionalFormatting sqref="D23:D25">
    <cfRule type="expression" dxfId="67" priority="4">
      <formula>IF($D$15="analytisch",1,0)</formula>
    </cfRule>
  </conditionalFormatting>
  <conditionalFormatting sqref="D24">
    <cfRule type="expression" dxfId="6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topLeftCell="A13" zoomScaleNormal="100" workbookViewId="0">
      <selection activeCell="C15" sqref="C15:D1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.2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656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Weimar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1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 t="str">
        <f>INDEX('SLP-Verfahren'!D45:D59,'SLP-Temp-Gebiet #01'!F10)</f>
        <v>Weimar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3" t="s">
        <v>583</v>
      </c>
      <c r="D13" s="363"/>
      <c r="E13" s="36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4" t="s">
        <v>445</v>
      </c>
      <c r="D14" s="364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4" t="s">
        <v>385</v>
      </c>
      <c r="D15" s="364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674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BTU EVU Rechenzentrum GmbH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519</v>
      </c>
      <c r="D24" s="188"/>
      <c r="E24" s="156" t="s">
        <v>658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105620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654</v>
      </c>
      <c r="F26" s="156" t="s">
        <v>654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653</v>
      </c>
      <c r="D27" s="349"/>
      <c r="E27" s="349" t="s">
        <v>675</v>
      </c>
      <c r="F27" s="349"/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518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525</v>
      </c>
      <c r="D32" s="186" t="s">
        <v>255</v>
      </c>
      <c r="E32" s="287">
        <f>1-SUMPRODUCT(F30:N30,F32:N32)</f>
        <v>0.5333</v>
      </c>
      <c r="F32" s="287">
        <f>ROUND(F33/$D$33,4)</f>
        <v>0.26669999999999999</v>
      </c>
      <c r="G32" s="287">
        <f t="shared" ref="G32:N32" si="3">ROUND(G33/$D$33,4)</f>
        <v>0.1333</v>
      </c>
      <c r="H32" s="287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532</v>
      </c>
      <c r="D33" s="293">
        <f>SUMPRODUCT(E33:N33,E30:N30)</f>
        <v>1.875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542</v>
      </c>
      <c r="D53" s="130"/>
      <c r="E53" s="130"/>
      <c r="F53" s="157"/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0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524</v>
      </c>
      <c r="D56" s="153" t="s">
        <v>515</v>
      </c>
      <c r="E56" s="287" t="e">
        <f>1-SUMPRODUCT(F54:N54,F56:N56)</f>
        <v>#DIV/0!</v>
      </c>
      <c r="F56" s="287" t="e">
        <f>ROUND(F57/$D$57,4)</f>
        <v>#DIV/0!</v>
      </c>
      <c r="G56" s="287" t="e">
        <f t="shared" ref="G56:N56" si="5">ROUND(G57/$D$57,4)</f>
        <v>#DIV/0!</v>
      </c>
      <c r="H56" s="287" t="e">
        <f t="shared" si="5"/>
        <v>#DIV/0!</v>
      </c>
      <c r="I56" s="287" t="e">
        <f t="shared" si="5"/>
        <v>#DIV/0!</v>
      </c>
      <c r="J56" s="287" t="e">
        <f t="shared" si="5"/>
        <v>#DIV/0!</v>
      </c>
      <c r="K56" s="287" t="e">
        <f t="shared" si="5"/>
        <v>#DIV/0!</v>
      </c>
      <c r="L56" s="287" t="e">
        <f t="shared" si="5"/>
        <v>#DIV/0!</v>
      </c>
      <c r="M56" s="287" t="e">
        <f t="shared" si="5"/>
        <v>#DIV/0!</v>
      </c>
      <c r="N56" s="287" t="e">
        <f t="shared" si="5"/>
        <v>#DIV/0!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536</v>
      </c>
      <c r="D57" s="186">
        <f>SUMPRODUCT(E57:N57,E54:N54)</f>
        <v>0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519</v>
      </c>
      <c r="D59" s="188"/>
      <c r="E59" s="156" t="str">
        <f>E24</f>
        <v>Weimar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105620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Individuelle GPT</v>
      </c>
      <c r="F61" s="158" t="str">
        <f t="shared" ref="F61:N61" si="10">F26</f>
        <v>Individuelle GPT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518</v>
      </c>
      <c r="D63" s="130"/>
      <c r="E63" s="130"/>
      <c r="F63" s="157"/>
    </row>
    <row r="64" spans="2:28" ht="15" customHeight="1">
      <c r="E64" s="178">
        <f>IF(E65&gt;$F$63,0,1)</f>
        <v>0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525</v>
      </c>
      <c r="D66" s="186" t="s">
        <v>255</v>
      </c>
      <c r="E66" s="287" t="e">
        <f>1-SUMPRODUCT(F64:N64,F66:N66)</f>
        <v>#DIV/0!</v>
      </c>
      <c r="F66" s="287" t="e">
        <f>ROUND(F67/$D$67,4)</f>
        <v>#DIV/0!</v>
      </c>
      <c r="G66" s="287" t="e">
        <f t="shared" ref="G66:N66" si="12">ROUND(G67/$D$67,4)</f>
        <v>#DIV/0!</v>
      </c>
      <c r="H66" s="287" t="e">
        <f t="shared" si="12"/>
        <v>#DIV/0!</v>
      </c>
      <c r="I66" s="287" t="e">
        <f t="shared" si="12"/>
        <v>#DIV/0!</v>
      </c>
      <c r="J66" s="287" t="e">
        <f t="shared" si="12"/>
        <v>#DIV/0!</v>
      </c>
      <c r="K66" s="287" t="e">
        <f t="shared" si="12"/>
        <v>#DIV/0!</v>
      </c>
      <c r="L66" s="287" t="e">
        <f t="shared" si="12"/>
        <v>#DIV/0!</v>
      </c>
      <c r="M66" s="287" t="e">
        <f t="shared" si="12"/>
        <v>#DIV/0!</v>
      </c>
      <c r="N66" s="287" t="e">
        <f t="shared" si="12"/>
        <v>#DIV/0!</v>
      </c>
      <c r="O66" s="185"/>
    </row>
    <row r="67" spans="2:15">
      <c r="B67" s="183"/>
      <c r="C67" s="184" t="s">
        <v>532</v>
      </c>
      <c r="D67" s="186">
        <f>SUMPRODUCT(E67:N67,E64:N64)</f>
        <v>0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65" t="s">
        <v>579</v>
      </c>
      <c r="D73" s="365"/>
      <c r="E73" s="365"/>
      <c r="F73" s="365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65" priority="28">
      <formula>IF(E$20&lt;=$F$18,1,0)</formula>
    </cfRule>
  </conditionalFormatting>
  <conditionalFormatting sqref="E33:N37">
    <cfRule type="expression" dxfId="64" priority="27">
      <formula>IF(E$31&lt;=$F$29,1,0)</formula>
    </cfRule>
  </conditionalFormatting>
  <conditionalFormatting sqref="E26:N26">
    <cfRule type="expression" dxfId="63" priority="26">
      <formula>IF(E$20&lt;=$F$18,1,0)</formula>
    </cfRule>
  </conditionalFormatting>
  <conditionalFormatting sqref="E26:N26">
    <cfRule type="expression" dxfId="62" priority="25">
      <formula>IF(E$20&lt;=$F$18,1,0)</formula>
    </cfRule>
  </conditionalFormatting>
  <conditionalFormatting sqref="E57:N60">
    <cfRule type="expression" dxfId="61" priority="22">
      <formula>IF(E$55&lt;=$F$53,1,0)</formula>
    </cfRule>
  </conditionalFormatting>
  <conditionalFormatting sqref="E61:N61">
    <cfRule type="expression" dxfId="60" priority="21">
      <formula>IF(E$55&lt;=$F$53,1,0)</formula>
    </cfRule>
  </conditionalFormatting>
  <conditionalFormatting sqref="E67:N69">
    <cfRule type="expression" dxfId="59" priority="15">
      <formula>IF(E$65&lt;=$F$63,1,0)</formula>
    </cfRule>
  </conditionalFormatting>
  <conditionalFormatting sqref="E66:N69 E71:N71">
    <cfRule type="expression" dxfId="58" priority="13">
      <formula>IF(E$65&gt;$F$63,1,0)</formula>
    </cfRule>
  </conditionalFormatting>
  <conditionalFormatting sqref="E57:N61">
    <cfRule type="expression" dxfId="57" priority="12">
      <formula>IF(E$55&gt;$F$53,1,0)</formula>
    </cfRule>
  </conditionalFormatting>
  <conditionalFormatting sqref="E21:N26">
    <cfRule type="expression" dxfId="56" priority="11">
      <formula>IF(E$20&gt;$F$18,1,0)</formula>
    </cfRule>
  </conditionalFormatting>
  <conditionalFormatting sqref="E33:N37">
    <cfRule type="expression" dxfId="55" priority="10">
      <formula>IF(E$31&gt;$F$29,1,0)</formula>
    </cfRule>
  </conditionalFormatting>
  <conditionalFormatting sqref="H11 H8:H9">
    <cfRule type="expression" dxfId="54" priority="9">
      <formula>IF($F$9=1,1,0)</formula>
    </cfRule>
  </conditionalFormatting>
  <conditionalFormatting sqref="E56:N56">
    <cfRule type="expression" dxfId="53" priority="8">
      <formula>IF(E$55&gt;$F$53,1,0)</formula>
    </cfRule>
  </conditionalFormatting>
  <conditionalFormatting sqref="E32:N32">
    <cfRule type="expression" dxfId="52" priority="7">
      <formula>IF(E$31&gt;$F$29,1,0)</formula>
    </cfRule>
  </conditionalFormatting>
  <conditionalFormatting sqref="E71:N71">
    <cfRule type="expression" dxfId="51" priority="6">
      <formula>IF(E$65&lt;=$F$63,1,0)</formula>
    </cfRule>
  </conditionalFormatting>
  <conditionalFormatting sqref="H10">
    <cfRule type="expression" dxfId="50" priority="5">
      <formula>IF($F$9=1,1,0)</formula>
    </cfRule>
  </conditionalFormatting>
  <conditionalFormatting sqref="E70:N70">
    <cfRule type="expression" dxfId="49" priority="2">
      <formula>IF(E$65&lt;=$F$63,1,0)</formula>
    </cfRule>
  </conditionalFormatting>
  <conditionalFormatting sqref="E70:N70">
    <cfRule type="expression" dxfId="48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.2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Weimar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2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3" t="s">
        <v>583</v>
      </c>
      <c r="D13" s="363"/>
      <c r="E13" s="36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4" t="s">
        <v>445</v>
      </c>
      <c r="D14" s="364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4" t="s">
        <v>385</v>
      </c>
      <c r="D15" s="364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142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525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65" t="s">
        <v>579</v>
      </c>
      <c r="D72" s="365"/>
      <c r="E72" s="365"/>
      <c r="F72" s="365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18">
      <formula>IF(E$20&lt;=$F$18,1,0)</formula>
    </cfRule>
  </conditionalFormatting>
  <conditionalFormatting sqref="E32:N36">
    <cfRule type="expression" dxfId="46" priority="17">
      <formula>IF(E$30&lt;=$F$28,1,0)</formula>
    </cfRule>
  </conditionalFormatting>
  <conditionalFormatting sqref="E26:F26">
    <cfRule type="expression" dxfId="45" priority="16">
      <formula>IF(E$20&lt;=$F$18,1,0)</formula>
    </cfRule>
  </conditionalFormatting>
  <conditionalFormatting sqref="E26:N26">
    <cfRule type="expression" dxfId="44" priority="15">
      <formula>IF(E$20&lt;=$F$18,1,0)</formula>
    </cfRule>
  </conditionalFormatting>
  <conditionalFormatting sqref="E56:N59">
    <cfRule type="expression" dxfId="43" priority="14">
      <formula>IF(E$54&lt;=$F$52,1,0)</formula>
    </cfRule>
  </conditionalFormatting>
  <conditionalFormatting sqref="E60:N60">
    <cfRule type="expression" dxfId="42" priority="13">
      <formula>IF(E$54&lt;=$F$52,1,0)</formula>
    </cfRule>
  </conditionalFormatting>
  <conditionalFormatting sqref="E66:N68">
    <cfRule type="expression" dxfId="41" priority="12">
      <formula>IF(E$64&lt;=$F$62,1,0)</formula>
    </cfRule>
  </conditionalFormatting>
  <conditionalFormatting sqref="E65:N68 E70:N70">
    <cfRule type="expression" dxfId="40" priority="11">
      <formula>IF(E$64&gt;$F$62,1,0)</formula>
    </cfRule>
  </conditionalFormatting>
  <conditionalFormatting sqref="E56:N60">
    <cfRule type="expression" dxfId="39" priority="10">
      <formula>IF(E$54&gt;$F$52,1,0)</formula>
    </cfRule>
  </conditionalFormatting>
  <conditionalFormatting sqref="E21:N26">
    <cfRule type="expression" dxfId="38" priority="9">
      <formula>IF(E$20&gt;$F$18,1,0)</formula>
    </cfRule>
  </conditionalFormatting>
  <conditionalFormatting sqref="E32:N36">
    <cfRule type="expression" dxfId="37" priority="8">
      <formula>IF(E$30&gt;$F$28,1,0)</formula>
    </cfRule>
  </conditionalFormatting>
  <conditionalFormatting sqref="H11 H8:H9">
    <cfRule type="expression" dxfId="36" priority="7">
      <formula>IF($F$9=1,1,0)</formula>
    </cfRule>
  </conditionalFormatting>
  <conditionalFormatting sqref="E55:N55">
    <cfRule type="expression" dxfId="35" priority="6">
      <formula>IF(E$54&gt;$F$52,1,0)</formula>
    </cfRule>
  </conditionalFormatting>
  <conditionalFormatting sqref="E31:N31">
    <cfRule type="expression" dxfId="34" priority="5">
      <formula>IF(E$30&gt;$F$28,1,0)</formula>
    </cfRule>
  </conditionalFormatting>
  <conditionalFormatting sqref="E70:N70">
    <cfRule type="expression" dxfId="33" priority="4">
      <formula>IF(E$64&lt;=$F$62,1,0)</formula>
    </cfRule>
  </conditionalFormatting>
  <conditionalFormatting sqref="H10">
    <cfRule type="expression" dxfId="32" priority="3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60"/>
  <sheetViews>
    <sheetView showGridLines="0" zoomScale="80" zoomScaleNormal="80" workbookViewId="0">
      <selection activeCell="L33" sqref="L3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.2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ENWG Energienetze Weimar GmbH &amp; Co. KG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Weimar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>
        <f>Netzbetreiber!$D$11</f>
        <v>9870078300000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COUNTA(D13:D101)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305" t="s">
        <v>647</v>
      </c>
    </row>
    <row r="11" spans="2:26" ht="16.5" thickBot="1">
      <c r="B11" s="201"/>
      <c r="C11" s="351"/>
      <c r="D11" s="201"/>
      <c r="E11" s="352"/>
      <c r="F11" s="353"/>
      <c r="G11" s="8"/>
      <c r="H11" s="354"/>
      <c r="I11" s="354"/>
      <c r="J11" s="354"/>
      <c r="K11" s="354"/>
      <c r="L11" s="355"/>
      <c r="M11" s="356"/>
      <c r="N11" s="357"/>
      <c r="O11" s="357"/>
      <c r="P11" s="357"/>
      <c r="Q11" s="358"/>
      <c r="R11" s="359"/>
      <c r="S11" s="359"/>
      <c r="T11" s="359"/>
      <c r="U11" s="359"/>
      <c r="V11" s="359"/>
      <c r="W11" s="359"/>
      <c r="X11" s="359"/>
      <c r="Y11" s="360"/>
    </row>
    <row r="12" spans="2:26" ht="15.75" thickBot="1">
      <c r="B12" s="139" t="s">
        <v>494</v>
      </c>
      <c r="C12" s="140" t="s">
        <v>509</v>
      </c>
      <c r="D12" s="304" t="s">
        <v>248</v>
      </c>
      <c r="E12" s="164" t="s">
        <v>59</v>
      </c>
      <c r="F12" s="306" t="str">
        <f>VLOOKUP($E12,'BDEW-Standard'!$B$3:$M$158,F$9,0)</f>
        <v>T14</v>
      </c>
      <c r="H12" s="167">
        <f>ROUND(VLOOKUP($E12,'BDEW-Standard'!$B$3:$M$158,H$9,0),7)</f>
        <v>3.159294</v>
      </c>
      <c r="I12" s="167">
        <f>ROUND(VLOOKUP($E12,'BDEW-Standard'!$B$3:$M$158,I$9,0),7)</f>
        <v>-37.406886</v>
      </c>
      <c r="J12" s="167">
        <f>ROUND(VLOOKUP($E12,'BDEW-Standard'!$B$3:$M$158,J$9,0),7)</f>
        <v>6.1418926000000003</v>
      </c>
      <c r="K12" s="167">
        <f>ROUND(VLOOKUP($E12,'BDEW-Standard'!$B$3:$M$158,K$9,0),7)</f>
        <v>9.3729099999999996E-2</v>
      </c>
      <c r="L12" s="214">
        <f>ROUND(VLOOKUP($E12,'BDEW-Standard'!$B$3:$M$158,L$9,0),1)</f>
        <v>40</v>
      </c>
      <c r="M12" s="167">
        <f>ROUND(VLOOKUP($E12,'BDEW-Standard'!$B$3:$M$158,M$9,0),7)</f>
        <v>0</v>
      </c>
      <c r="N12" s="167">
        <f>ROUND(VLOOKUP($E12,'BDEW-Standard'!$B$3:$M$158,N$9,0),7)</f>
        <v>0</v>
      </c>
      <c r="O12" s="167">
        <f>ROUND(VLOOKUP($E12,'BDEW-Standard'!$B$3:$M$158,O$9,0),7)</f>
        <v>0</v>
      </c>
      <c r="P12" s="167">
        <f>ROUND(VLOOKUP($E12,'BDEW-Standard'!$B$3:$M$158,P$9,0),7)</f>
        <v>0</v>
      </c>
      <c r="Q12" s="213">
        <f>($H12/(1+($I12/($Q$9-$L12))^$J12)+$K12)+MAX($M12*$Q$9+$N12,$O12*$Q$9+$P12)</f>
        <v>0.96918650224521152</v>
      </c>
      <c r="R12" s="168">
        <f>ROUND(VLOOKUP(MID($E12,4,3),'Wochentag F(WT)'!$B$7:$J$22,R$9,0),4)</f>
        <v>1</v>
      </c>
      <c r="S12" s="168">
        <f>ROUND(VLOOKUP(MID($E12,4,3),'Wochentag F(WT)'!$B$7:$J$22,S$9,0),4)</f>
        <v>1</v>
      </c>
      <c r="T12" s="168">
        <f>ROUND(VLOOKUP(MID($E12,4,3),'Wochentag F(WT)'!$B$7:$J$22,T$9,0),4)</f>
        <v>1</v>
      </c>
      <c r="U12" s="168">
        <f>ROUND(VLOOKUP(MID($E12,4,3),'Wochentag F(WT)'!$B$7:$J$22,U$9,0),4)</f>
        <v>1</v>
      </c>
      <c r="V12" s="168">
        <f>ROUND(VLOOKUP(MID($E12,4,3),'Wochentag F(WT)'!$B$7:$J$22,V$9,0),4)</f>
        <v>1</v>
      </c>
      <c r="W12" s="168">
        <f>ROUND(VLOOKUP(MID($E12,4,3),'Wochentag F(WT)'!$B$7:$J$22,W$9,0),4)</f>
        <v>1</v>
      </c>
      <c r="X12" s="169">
        <f>7-SUM(R12:W12)</f>
        <v>1</v>
      </c>
      <c r="Y12" s="302"/>
    </row>
    <row r="13" spans="2:26">
      <c r="B13" s="141">
        <v>1</v>
      </c>
      <c r="C13" s="142" t="str">
        <f t="shared" ref="C13:C42" si="0">$D$6</f>
        <v>Weimar</v>
      </c>
      <c r="D13" s="62" t="s">
        <v>248</v>
      </c>
      <c r="E13" s="165" t="s">
        <v>663</v>
      </c>
      <c r="F13" s="307" t="str">
        <f>VLOOKUP($E13,'BDEW-Standard'!$B$3:$M$94,F$9,0)</f>
        <v>BA4</v>
      </c>
      <c r="H13" s="278">
        <f>ROUND(VLOOKUP($E13,'BDEW-Standard'!$B$3:$M$94,H$9,0),7)</f>
        <v>0.93158890000000005</v>
      </c>
      <c r="I13" s="278">
        <f>ROUND(VLOOKUP($E13,'BDEW-Standard'!$B$3:$M$94,I$9,0),7)</f>
        <v>-33.35</v>
      </c>
      <c r="J13" s="278">
        <f>ROUND(VLOOKUP($E13,'BDEW-Standard'!$B$3:$M$94,J$9,0),7)</f>
        <v>5.7212303000000002</v>
      </c>
      <c r="K13" s="278">
        <f>ROUND(VLOOKUP($E13,'BDEW-Standard'!$B$3:$M$94,K$9,0),7)</f>
        <v>0.66564939999999995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ref="Q13:Q24" si="1">($H13/(1+($I13/($Q$9-$L13))^$J13)+$K13)+MAX($M13*$Q$9+$N13,$O13*$Q$9+$P13)</f>
        <v>1.0766391850538448</v>
      </c>
      <c r="R13" s="281">
        <f>ROUND(VLOOKUP(MID($E13,4,3),'Wochentag F(WT)'!$B$7:$J$22,R$9,0),4)</f>
        <v>1.0848</v>
      </c>
      <c r="S13" s="281">
        <f>ROUND(VLOOKUP(MID($E13,4,3),'Wochentag F(WT)'!$B$7:$J$22,S$9,0),4)</f>
        <v>1.1211</v>
      </c>
      <c r="T13" s="281">
        <f>ROUND(VLOOKUP(MID($E13,4,3),'Wochentag F(WT)'!$B$7:$J$22,T$9,0),4)</f>
        <v>1.0769</v>
      </c>
      <c r="U13" s="281">
        <f>ROUND(VLOOKUP(MID($E13,4,3),'Wochentag F(WT)'!$B$7:$J$22,U$9,0),4)</f>
        <v>1.1353</v>
      </c>
      <c r="V13" s="281">
        <f>ROUND(VLOOKUP(MID($E13,4,3),'Wochentag F(WT)'!$B$7:$J$22,V$9,0),4)</f>
        <v>1.1402000000000001</v>
      </c>
      <c r="W13" s="281">
        <f>ROUND(VLOOKUP(MID($E13,4,3),'Wochentag F(WT)'!$B$7:$J$22,W$9,0),4)</f>
        <v>0.48520000000000002</v>
      </c>
      <c r="X13" s="282">
        <f>7-SUM(R13:W13)</f>
        <v>0.95650000000000013</v>
      </c>
      <c r="Y13" s="303"/>
      <c r="Z13" s="212"/>
    </row>
    <row r="14" spans="2:26" s="143" customFormat="1">
      <c r="B14" s="144">
        <v>2</v>
      </c>
      <c r="C14" s="145" t="str">
        <f t="shared" si="0"/>
        <v>Weimar</v>
      </c>
      <c r="D14" s="62" t="s">
        <v>248</v>
      </c>
      <c r="E14" s="165" t="s">
        <v>664</v>
      </c>
      <c r="F14" s="307" t="str">
        <f>VLOOKUP($E14,'BDEW-Standard'!$B$3:$M$94,F$9,0)</f>
        <v>BD4</v>
      </c>
      <c r="H14" s="278">
        <f>ROUND(VLOOKUP($E14,'BDEW-Standard'!$B$3:$M$94,H$9,0),7)</f>
        <v>3.75</v>
      </c>
      <c r="I14" s="278">
        <f>ROUND(VLOOKUP($E14,'BDEW-Standard'!$B$3:$M$94,I$9,0),7)</f>
        <v>-37.5</v>
      </c>
      <c r="J14" s="278">
        <f>ROUND(VLOOKUP($E14,'BDEW-Standard'!$B$3:$M$94,J$9,0),7)</f>
        <v>6.8</v>
      </c>
      <c r="K14" s="278">
        <f>ROUND(VLOOKUP($E14,'BDEW-Standard'!$B$3:$M$94,K$9,0),7)</f>
        <v>6.0911300000000002E-2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1.0126136468627658</v>
      </c>
      <c r="R14" s="281">
        <f>ROUND(VLOOKUP(MID($E14,4,3),'Wochentag F(WT)'!$B$7:$J$22,R$9,0),4)</f>
        <v>1.1052</v>
      </c>
      <c r="S14" s="281">
        <f>ROUND(VLOOKUP(MID($E14,4,3),'Wochentag F(WT)'!$B$7:$J$22,S$9,0),4)</f>
        <v>1.0857000000000001</v>
      </c>
      <c r="T14" s="281">
        <f>ROUND(VLOOKUP(MID($E14,4,3),'Wochentag F(WT)'!$B$7:$J$22,T$9,0),4)</f>
        <v>1.0378000000000001</v>
      </c>
      <c r="U14" s="281">
        <f>ROUND(VLOOKUP(MID($E14,4,3),'Wochentag F(WT)'!$B$7:$J$22,U$9,0),4)</f>
        <v>1.0622</v>
      </c>
      <c r="V14" s="281">
        <f>ROUND(VLOOKUP(MID($E14,4,3),'Wochentag F(WT)'!$B$7:$J$22,V$9,0),4)</f>
        <v>1.0266</v>
      </c>
      <c r="W14" s="281">
        <f>ROUND(VLOOKUP(MID($E14,4,3),'Wochentag F(WT)'!$B$7:$J$22,W$9,0),4)</f>
        <v>0.76290000000000002</v>
      </c>
      <c r="X14" s="282">
        <f t="shared" ref="X14:X24" si="2">7-SUM(R14:W14)</f>
        <v>0.91959999999999997</v>
      </c>
      <c r="Y14" s="303"/>
      <c r="Z14" s="212"/>
    </row>
    <row r="15" spans="2:26" s="143" customFormat="1">
      <c r="B15" s="144">
        <v>3</v>
      </c>
      <c r="C15" s="145" t="str">
        <f t="shared" si="0"/>
        <v>Weimar</v>
      </c>
      <c r="D15" s="62" t="s">
        <v>248</v>
      </c>
      <c r="E15" s="165" t="s">
        <v>665</v>
      </c>
      <c r="F15" s="307" t="str">
        <f>VLOOKUP($E15,'BDEW-Standard'!$B$3:$M$94,F$9,0)</f>
        <v>BH4</v>
      </c>
      <c r="H15" s="278">
        <f>ROUND(VLOOKUP($E15,'BDEW-Standard'!$B$3:$M$94,H$9,0),7)</f>
        <v>2.4595180999999999</v>
      </c>
      <c r="I15" s="278">
        <f>ROUND(VLOOKUP($E15,'BDEW-Standard'!$B$3:$M$94,I$9,0),7)</f>
        <v>-35.253212400000002</v>
      </c>
      <c r="J15" s="278">
        <f>ROUND(VLOOKUP($E15,'BDEW-Standard'!$B$3:$M$94,J$9,0),7)</f>
        <v>6.0587001000000003</v>
      </c>
      <c r="K15" s="278">
        <f>ROUND(VLOOKUP($E15,'BDEW-Standard'!$B$3:$M$94,K$9,0),7)</f>
        <v>0.16473699999999999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1.043802057143173</v>
      </c>
      <c r="R15" s="281">
        <f>ROUND(VLOOKUP(MID($E15,4,3),'Wochentag F(WT)'!$B$7:$J$22,R$9,0),4)</f>
        <v>0.97670000000000001</v>
      </c>
      <c r="S15" s="281">
        <f>ROUND(VLOOKUP(MID($E15,4,3),'Wochentag F(WT)'!$B$7:$J$22,S$9,0),4)</f>
        <v>1.0388999999999999</v>
      </c>
      <c r="T15" s="281">
        <f>ROUND(VLOOKUP(MID($E15,4,3),'Wochentag F(WT)'!$B$7:$J$22,T$9,0),4)</f>
        <v>1.0027999999999999</v>
      </c>
      <c r="U15" s="281">
        <f>ROUND(VLOOKUP(MID($E15,4,3),'Wochentag F(WT)'!$B$7:$J$22,U$9,0),4)</f>
        <v>1.0162</v>
      </c>
      <c r="V15" s="281">
        <f>ROUND(VLOOKUP(MID($E15,4,3),'Wochentag F(WT)'!$B$7:$J$22,V$9,0),4)</f>
        <v>1.0024</v>
      </c>
      <c r="W15" s="281">
        <f>ROUND(VLOOKUP(MID($E15,4,3),'Wochentag F(WT)'!$B$7:$J$22,W$9,0),4)</f>
        <v>1.0043</v>
      </c>
      <c r="X15" s="282">
        <f t="shared" si="2"/>
        <v>0.95870000000000122</v>
      </c>
      <c r="Y15" s="303"/>
      <c r="Z15" s="212"/>
    </row>
    <row r="16" spans="2:26" s="143" customFormat="1">
      <c r="B16" s="144">
        <v>4</v>
      </c>
      <c r="C16" s="145" t="str">
        <f t="shared" si="0"/>
        <v>Weimar</v>
      </c>
      <c r="D16" s="62" t="s">
        <v>248</v>
      </c>
      <c r="E16" s="165" t="s">
        <v>666</v>
      </c>
      <c r="F16" s="307" t="str">
        <f>VLOOKUP($E16,'BDEW-Standard'!$B$3:$M$94,F$9,0)</f>
        <v>GA4</v>
      </c>
      <c r="H16" s="278">
        <f>ROUND(VLOOKUP($E16,'BDEW-Standard'!$B$3:$M$94,H$9,0),7)</f>
        <v>2.8195655999999998</v>
      </c>
      <c r="I16" s="278">
        <f>ROUND(VLOOKUP($E16,'BDEW-Standard'!$B$3:$M$94,I$9,0),7)</f>
        <v>-36</v>
      </c>
      <c r="J16" s="278">
        <f>ROUND(VLOOKUP($E16,'BDEW-Standard'!$B$3:$M$94,J$9,0),7)</f>
        <v>7.7368518000000002</v>
      </c>
      <c r="K16" s="278">
        <f>ROUND(VLOOKUP($E16,'BDEW-Standard'!$B$3:$M$94,K$9,0),7)</f>
        <v>0.157281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0.96576337685759206</v>
      </c>
      <c r="R16" s="281">
        <f>ROUND(VLOOKUP(MID($E16,4,3),'Wochentag F(WT)'!$B$7:$J$22,R$9,0),4)</f>
        <v>0.93220000000000003</v>
      </c>
      <c r="S16" s="281">
        <f>ROUND(VLOOKUP(MID($E16,4,3),'Wochentag F(WT)'!$B$7:$J$22,S$9,0),4)</f>
        <v>0.98939999999999995</v>
      </c>
      <c r="T16" s="281">
        <f>ROUND(VLOOKUP(MID($E16,4,3),'Wochentag F(WT)'!$B$7:$J$22,T$9,0),4)</f>
        <v>1.0033000000000001</v>
      </c>
      <c r="U16" s="281">
        <f>ROUND(VLOOKUP(MID($E16,4,3),'Wochentag F(WT)'!$B$7:$J$22,U$9,0),4)</f>
        <v>1.0108999999999999</v>
      </c>
      <c r="V16" s="281">
        <f>ROUND(VLOOKUP(MID($E16,4,3),'Wochentag F(WT)'!$B$7:$J$22,V$9,0),4)</f>
        <v>1.018</v>
      </c>
      <c r="W16" s="281">
        <f>ROUND(VLOOKUP(MID($E16,4,3),'Wochentag F(WT)'!$B$7:$J$22,W$9,0),4)</f>
        <v>1.0356000000000001</v>
      </c>
      <c r="X16" s="282">
        <f t="shared" si="2"/>
        <v>1.0106000000000002</v>
      </c>
      <c r="Y16" s="303"/>
      <c r="Z16" s="212"/>
    </row>
    <row r="17" spans="2:26" s="143" customFormat="1">
      <c r="B17" s="144">
        <v>5</v>
      </c>
      <c r="C17" s="145" t="str">
        <f t="shared" si="0"/>
        <v>Weimar</v>
      </c>
      <c r="D17" s="62" t="s">
        <v>248</v>
      </c>
      <c r="E17" s="165" t="s">
        <v>667</v>
      </c>
      <c r="F17" s="307" t="str">
        <f>VLOOKUP($E17,'BDEW-Standard'!$B$3:$M$94,F$9,0)</f>
        <v>GB4</v>
      </c>
      <c r="H17" s="278">
        <f>ROUND(VLOOKUP($E17,'BDEW-Standard'!$B$3:$M$94,H$9,0),7)</f>
        <v>3.6017736</v>
      </c>
      <c r="I17" s="278">
        <f>ROUND(VLOOKUP($E17,'BDEW-Standard'!$B$3:$M$94,I$9,0),7)</f>
        <v>-37.882536799999997</v>
      </c>
      <c r="J17" s="278">
        <f>ROUND(VLOOKUP($E17,'BDEW-Standard'!$B$3:$M$94,J$9,0),7)</f>
        <v>6.9836070000000001</v>
      </c>
      <c r="K17" s="278">
        <f>ROUND(VLOOKUP($E17,'BDEW-Standard'!$B$3:$M$94,K$9,0),7)</f>
        <v>5.4826199999999999E-2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0.90239375975311864</v>
      </c>
      <c r="R17" s="281">
        <f>ROUND(VLOOKUP(MID($E17,4,3),'Wochentag F(WT)'!$B$7:$J$22,R$9,0),4)</f>
        <v>0.98970000000000002</v>
      </c>
      <c r="S17" s="281">
        <f>ROUND(VLOOKUP(MID($E17,4,3),'Wochentag F(WT)'!$B$7:$J$22,S$9,0),4)</f>
        <v>0.9627</v>
      </c>
      <c r="T17" s="281">
        <f>ROUND(VLOOKUP(MID($E17,4,3),'Wochentag F(WT)'!$B$7:$J$22,T$9,0),4)</f>
        <v>1.0507</v>
      </c>
      <c r="U17" s="281">
        <f>ROUND(VLOOKUP(MID($E17,4,3),'Wochentag F(WT)'!$B$7:$J$22,U$9,0),4)</f>
        <v>1.0551999999999999</v>
      </c>
      <c r="V17" s="281">
        <f>ROUND(VLOOKUP(MID($E17,4,3),'Wochentag F(WT)'!$B$7:$J$22,V$9,0),4)</f>
        <v>1.0297000000000001</v>
      </c>
      <c r="W17" s="281">
        <f>ROUND(VLOOKUP(MID($E17,4,3),'Wochentag F(WT)'!$B$7:$J$22,W$9,0),4)</f>
        <v>0.97670000000000001</v>
      </c>
      <c r="X17" s="282">
        <f t="shared" si="2"/>
        <v>0.9352999999999998</v>
      </c>
      <c r="Y17" s="303"/>
      <c r="Z17" s="212"/>
    </row>
    <row r="18" spans="2:26" s="143" customFormat="1">
      <c r="B18" s="144">
        <v>6</v>
      </c>
      <c r="C18" s="145" t="str">
        <f t="shared" si="0"/>
        <v>Weimar</v>
      </c>
      <c r="D18" s="62" t="s">
        <v>248</v>
      </c>
      <c r="E18" s="165" t="s">
        <v>668</v>
      </c>
      <c r="F18" s="307" t="str">
        <f>VLOOKUP($E18,'BDEW-Standard'!$B$3:$M$94,F$9,0)</f>
        <v>HA4</v>
      </c>
      <c r="H18" s="278">
        <f>ROUND(VLOOKUP($E18,'BDEW-Standard'!$B$3:$M$94,H$9,0),7)</f>
        <v>4.0196902000000003</v>
      </c>
      <c r="I18" s="278">
        <f>ROUND(VLOOKUP($E18,'BDEW-Standard'!$B$3:$M$94,I$9,0),7)</f>
        <v>-37.828203700000003</v>
      </c>
      <c r="J18" s="278">
        <f>ROUND(VLOOKUP($E18,'BDEW-Standard'!$B$3:$M$94,J$9,0),7)</f>
        <v>8.1593368999999996</v>
      </c>
      <c r="K18" s="278">
        <f>ROUND(VLOOKUP($E18,'BDEW-Standard'!$B$3:$M$94,K$9,0),7)</f>
        <v>4.72845E-2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0.86486713303260787</v>
      </c>
      <c r="R18" s="281">
        <f>ROUND(VLOOKUP(MID($E18,4,3),'Wochentag F(WT)'!$B$7:$J$22,R$9,0),4)</f>
        <v>1.0358000000000001</v>
      </c>
      <c r="S18" s="281">
        <f>ROUND(VLOOKUP(MID($E18,4,3),'Wochentag F(WT)'!$B$7:$J$22,S$9,0),4)</f>
        <v>1.0232000000000001</v>
      </c>
      <c r="T18" s="281">
        <f>ROUND(VLOOKUP(MID($E18,4,3),'Wochentag F(WT)'!$B$7:$J$22,T$9,0),4)</f>
        <v>1.0251999999999999</v>
      </c>
      <c r="U18" s="281">
        <f>ROUND(VLOOKUP(MID($E18,4,3),'Wochentag F(WT)'!$B$7:$J$22,U$9,0),4)</f>
        <v>1.0295000000000001</v>
      </c>
      <c r="V18" s="281">
        <f>ROUND(VLOOKUP(MID($E18,4,3),'Wochentag F(WT)'!$B$7:$J$22,V$9,0),4)</f>
        <v>1.0253000000000001</v>
      </c>
      <c r="W18" s="281">
        <f>ROUND(VLOOKUP(MID($E18,4,3),'Wochentag F(WT)'!$B$7:$J$22,W$9,0),4)</f>
        <v>0.96750000000000003</v>
      </c>
      <c r="X18" s="282">
        <f t="shared" si="2"/>
        <v>0.89350000000000041</v>
      </c>
      <c r="Y18" s="303"/>
      <c r="Z18" s="212"/>
    </row>
    <row r="19" spans="2:26" s="143" customFormat="1">
      <c r="B19" s="144">
        <v>7</v>
      </c>
      <c r="C19" s="145" t="str">
        <f t="shared" si="0"/>
        <v>Weimar</v>
      </c>
      <c r="D19" s="62" t="s">
        <v>248</v>
      </c>
      <c r="E19" s="165" t="s">
        <v>669</v>
      </c>
      <c r="F19" s="307" t="str">
        <f>VLOOKUP($E19,'BDEW-Standard'!$B$3:$M$94,F$9,0)</f>
        <v>KO4</v>
      </c>
      <c r="H19" s="278">
        <f>ROUND(VLOOKUP($E19,'BDEW-Standard'!$B$3:$M$94,H$9,0),7)</f>
        <v>3.4428942999999999</v>
      </c>
      <c r="I19" s="278">
        <f>ROUND(VLOOKUP($E19,'BDEW-Standard'!$B$3:$M$94,I$9,0),7)</f>
        <v>-36.659050399999998</v>
      </c>
      <c r="J19" s="278">
        <f>ROUND(VLOOKUP($E19,'BDEW-Standard'!$B$3:$M$94,J$9,0),7)</f>
        <v>7.6083226000000002</v>
      </c>
      <c r="K19" s="278">
        <f>ROUND(VLOOKUP($E19,'BDEW-Standard'!$B$3:$M$94,K$9,0),7)</f>
        <v>7.4685000000000001E-2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0.97768382110526542</v>
      </c>
      <c r="R19" s="281">
        <f>ROUND(VLOOKUP(MID($E19,4,3),'Wochentag F(WT)'!$B$7:$J$22,R$9,0),4)</f>
        <v>1.0354000000000001</v>
      </c>
      <c r="S19" s="281">
        <f>ROUND(VLOOKUP(MID($E19,4,3),'Wochentag F(WT)'!$B$7:$J$22,S$9,0),4)</f>
        <v>1.0523</v>
      </c>
      <c r="T19" s="281">
        <f>ROUND(VLOOKUP(MID($E19,4,3),'Wochentag F(WT)'!$B$7:$J$22,T$9,0),4)</f>
        <v>1.0448999999999999</v>
      </c>
      <c r="U19" s="281">
        <f>ROUND(VLOOKUP(MID($E19,4,3),'Wochentag F(WT)'!$B$7:$J$22,U$9,0),4)</f>
        <v>1.0494000000000001</v>
      </c>
      <c r="V19" s="281">
        <f>ROUND(VLOOKUP(MID($E19,4,3),'Wochentag F(WT)'!$B$7:$J$22,V$9,0),4)</f>
        <v>0.98850000000000005</v>
      </c>
      <c r="W19" s="281">
        <f>ROUND(VLOOKUP(MID($E19,4,3),'Wochentag F(WT)'!$B$7:$J$22,W$9,0),4)</f>
        <v>0.88600000000000001</v>
      </c>
      <c r="X19" s="282">
        <f t="shared" si="2"/>
        <v>0.94349999999999934</v>
      </c>
      <c r="Y19" s="303"/>
      <c r="Z19" s="212"/>
    </row>
    <row r="20" spans="2:26" s="143" customFormat="1">
      <c r="B20" s="144">
        <v>8</v>
      </c>
      <c r="C20" s="145" t="str">
        <f t="shared" si="0"/>
        <v>Weimar</v>
      </c>
      <c r="D20" s="62" t="s">
        <v>248</v>
      </c>
      <c r="E20" s="165" t="s">
        <v>670</v>
      </c>
      <c r="F20" s="307" t="str">
        <f>VLOOKUP($E20,'BDEW-Standard'!$B$3:$M$94,F$9,0)</f>
        <v>MF4</v>
      </c>
      <c r="H20" s="278">
        <f>ROUND(VLOOKUP($E20,'BDEW-Standard'!$B$3:$M$94,H$9,0),7)</f>
        <v>2.5187775000000001</v>
      </c>
      <c r="I20" s="278">
        <f>ROUND(VLOOKUP($E20,'BDEW-Standard'!$B$3:$M$94,I$9,0),7)</f>
        <v>-35.033375399999997</v>
      </c>
      <c r="J20" s="278">
        <f>ROUND(VLOOKUP($E20,'BDEW-Standard'!$B$3:$M$94,J$9,0),7)</f>
        <v>6.2240634000000004</v>
      </c>
      <c r="K20" s="278">
        <f>ROUND(VLOOKUP($E20,'BDEW-Standard'!$B$3:$M$94,K$9,0),7)</f>
        <v>0.10107820000000001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1.0146273685996503</v>
      </c>
      <c r="R20" s="281">
        <f>ROUND(VLOOKUP(MID($E20,4,3),'Wochentag F(WT)'!$B$7:$J$22,R$9,0),4)</f>
        <v>1.0354000000000001</v>
      </c>
      <c r="S20" s="281">
        <f>ROUND(VLOOKUP(MID($E20,4,3),'Wochentag F(WT)'!$B$7:$J$22,S$9,0),4)</f>
        <v>1.0523</v>
      </c>
      <c r="T20" s="281">
        <f>ROUND(VLOOKUP(MID($E20,4,3),'Wochentag F(WT)'!$B$7:$J$22,T$9,0),4)</f>
        <v>1.0448999999999999</v>
      </c>
      <c r="U20" s="281">
        <f>ROUND(VLOOKUP(MID($E20,4,3),'Wochentag F(WT)'!$B$7:$J$22,U$9,0),4)</f>
        <v>1.0494000000000001</v>
      </c>
      <c r="V20" s="281">
        <f>ROUND(VLOOKUP(MID($E20,4,3),'Wochentag F(WT)'!$B$7:$J$22,V$9,0),4)</f>
        <v>0.98850000000000005</v>
      </c>
      <c r="W20" s="281">
        <f>ROUND(VLOOKUP(MID($E20,4,3),'Wochentag F(WT)'!$B$7:$J$22,W$9,0),4)</f>
        <v>0.88600000000000001</v>
      </c>
      <c r="X20" s="282">
        <f t="shared" si="2"/>
        <v>0.94349999999999934</v>
      </c>
      <c r="Y20" s="303"/>
      <c r="Z20" s="212"/>
    </row>
    <row r="21" spans="2:26" s="143" customFormat="1">
      <c r="B21" s="144">
        <v>9</v>
      </c>
      <c r="C21" s="145" t="str">
        <f t="shared" si="0"/>
        <v>Weimar</v>
      </c>
      <c r="D21" s="62" t="s">
        <v>248</v>
      </c>
      <c r="E21" s="165" t="s">
        <v>671</v>
      </c>
      <c r="F21" s="307" t="str">
        <f>VLOOKUP($E21,'BDEW-Standard'!$B$3:$M$94,F$9,0)</f>
        <v>MK4</v>
      </c>
      <c r="H21" s="278">
        <f>ROUND(VLOOKUP($E21,'BDEW-Standard'!$B$3:$M$94,H$9,0),7)</f>
        <v>3.1177248</v>
      </c>
      <c r="I21" s="278">
        <f>ROUND(VLOOKUP($E21,'BDEW-Standard'!$B$3:$M$94,I$9,0),7)</f>
        <v>-35.871506199999999</v>
      </c>
      <c r="J21" s="278">
        <f>ROUND(VLOOKUP($E21,'BDEW-Standard'!$B$3:$M$94,J$9,0),7)</f>
        <v>7.5186828999999999</v>
      </c>
      <c r="K21" s="278">
        <f>ROUND(VLOOKUP($E21,'BDEW-Standard'!$B$3:$M$94,K$9,0),7)</f>
        <v>3.4330100000000002E-2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0.9622064996731321</v>
      </c>
      <c r="R21" s="281">
        <f>ROUND(VLOOKUP(MID($E21,4,3),'Wochentag F(WT)'!$B$7:$J$22,R$9,0),4)</f>
        <v>1.0699000000000001</v>
      </c>
      <c r="S21" s="281">
        <f>ROUND(VLOOKUP(MID($E21,4,3),'Wochentag F(WT)'!$B$7:$J$22,S$9,0),4)</f>
        <v>1.0365</v>
      </c>
      <c r="T21" s="281">
        <f>ROUND(VLOOKUP(MID($E21,4,3),'Wochentag F(WT)'!$B$7:$J$22,T$9,0),4)</f>
        <v>0.99329999999999996</v>
      </c>
      <c r="U21" s="281">
        <f>ROUND(VLOOKUP(MID($E21,4,3),'Wochentag F(WT)'!$B$7:$J$22,U$9,0),4)</f>
        <v>0.99480000000000002</v>
      </c>
      <c r="V21" s="281">
        <f>ROUND(VLOOKUP(MID($E21,4,3),'Wochentag F(WT)'!$B$7:$J$22,V$9,0),4)</f>
        <v>1.0659000000000001</v>
      </c>
      <c r="W21" s="281">
        <f>ROUND(VLOOKUP(MID($E21,4,3),'Wochentag F(WT)'!$B$7:$J$22,W$9,0),4)</f>
        <v>0.93620000000000003</v>
      </c>
      <c r="X21" s="282">
        <f t="shared" si="2"/>
        <v>0.90339999999999954</v>
      </c>
      <c r="Y21" s="303"/>
      <c r="Z21" s="212"/>
    </row>
    <row r="22" spans="2:26" s="143" customFormat="1">
      <c r="B22" s="144">
        <v>10</v>
      </c>
      <c r="C22" s="145" t="str">
        <f t="shared" si="0"/>
        <v>Weimar</v>
      </c>
      <c r="D22" s="62" t="s">
        <v>248</v>
      </c>
      <c r="E22" s="165" t="s">
        <v>672</v>
      </c>
      <c r="F22" s="307" t="str">
        <f>VLOOKUP($E22,'BDEW-Standard'!$B$3:$M$94,F$9,0)</f>
        <v>PD4</v>
      </c>
      <c r="H22" s="278">
        <f>ROUND(VLOOKUP($E22,'BDEW-Standard'!$B$3:$M$94,H$9,0),7)</f>
        <v>3.85</v>
      </c>
      <c r="I22" s="278">
        <f>ROUND(VLOOKUP($E22,'BDEW-Standard'!$B$3:$M$94,I$9,0),7)</f>
        <v>-37</v>
      </c>
      <c r="J22" s="278">
        <f>ROUND(VLOOKUP($E22,'BDEW-Standard'!$B$3:$M$94,J$9,0),7)</f>
        <v>10.2405021</v>
      </c>
      <c r="K22" s="278">
        <f>ROUND(VLOOKUP($E22,'BDEW-Standard'!$B$3:$M$94,K$9,0),7)</f>
        <v>4.6924300000000002E-2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0.75691065279879233</v>
      </c>
      <c r="R22" s="281">
        <f>ROUND(VLOOKUP(MID($E22,4,3),'Wochentag F(WT)'!$B$7:$J$22,R$9,0),4)</f>
        <v>1.0214000000000001</v>
      </c>
      <c r="S22" s="281">
        <f>ROUND(VLOOKUP(MID($E22,4,3),'Wochentag F(WT)'!$B$7:$J$22,S$9,0),4)</f>
        <v>1.0866</v>
      </c>
      <c r="T22" s="281">
        <f>ROUND(VLOOKUP(MID($E22,4,3),'Wochentag F(WT)'!$B$7:$J$22,T$9,0),4)</f>
        <v>1.0720000000000001</v>
      </c>
      <c r="U22" s="281">
        <f>ROUND(VLOOKUP(MID($E22,4,3),'Wochentag F(WT)'!$B$7:$J$22,U$9,0),4)</f>
        <v>1.0557000000000001</v>
      </c>
      <c r="V22" s="281">
        <f>ROUND(VLOOKUP(MID($E22,4,3),'Wochentag F(WT)'!$B$7:$J$22,V$9,0),4)</f>
        <v>1.0117</v>
      </c>
      <c r="W22" s="281">
        <f>ROUND(VLOOKUP(MID($E22,4,3),'Wochentag F(WT)'!$B$7:$J$22,W$9,0),4)</f>
        <v>0.90010000000000001</v>
      </c>
      <c r="X22" s="282">
        <f t="shared" si="2"/>
        <v>0.85249999999999915</v>
      </c>
      <c r="Y22" s="303"/>
      <c r="Z22" s="212"/>
    </row>
    <row r="23" spans="2:26" s="143" customFormat="1">
      <c r="B23" s="144">
        <v>11</v>
      </c>
      <c r="C23" s="145" t="str">
        <f t="shared" si="0"/>
        <v>Weimar</v>
      </c>
      <c r="D23" s="62" t="s">
        <v>248</v>
      </c>
      <c r="E23" s="165" t="s">
        <v>673</v>
      </c>
      <c r="F23" s="307" t="str">
        <f>VLOOKUP($E23,'BDEW-Standard'!$B$3:$M$94,F$9,0)</f>
        <v>WA4</v>
      </c>
      <c r="H23" s="278">
        <f>ROUND(VLOOKUP($E23,'BDEW-Standard'!$B$3:$M$94,H$9,0),7)</f>
        <v>1.0535874999999999</v>
      </c>
      <c r="I23" s="278">
        <f>ROUND(VLOOKUP($E23,'BDEW-Standard'!$B$3:$M$94,I$9,0),7)</f>
        <v>-35.299999999999997</v>
      </c>
      <c r="J23" s="278">
        <f>ROUND(VLOOKUP($E23,'BDEW-Standard'!$B$3:$M$94,J$9,0),7)</f>
        <v>4.8662747</v>
      </c>
      <c r="K23" s="278">
        <f>ROUND(VLOOKUP($E23,'BDEW-Standard'!$B$3:$M$94,K$9,0),7)</f>
        <v>0.68110420000000005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1.0844348950990992</v>
      </c>
      <c r="R23" s="281">
        <f>ROUND(VLOOKUP(MID($E23,4,3),'Wochentag F(WT)'!$B$7:$J$22,R$9,0),4)</f>
        <v>1.2457</v>
      </c>
      <c r="S23" s="281">
        <f>ROUND(VLOOKUP(MID($E23,4,3),'Wochentag F(WT)'!$B$7:$J$22,S$9,0),4)</f>
        <v>1.2615000000000001</v>
      </c>
      <c r="T23" s="281">
        <f>ROUND(VLOOKUP(MID($E23,4,3),'Wochentag F(WT)'!$B$7:$J$22,T$9,0),4)</f>
        <v>1.2706999999999999</v>
      </c>
      <c r="U23" s="281">
        <f>ROUND(VLOOKUP(MID($E23,4,3),'Wochentag F(WT)'!$B$7:$J$22,U$9,0),4)</f>
        <v>1.2430000000000001</v>
      </c>
      <c r="V23" s="281">
        <f>ROUND(VLOOKUP(MID($E23,4,3),'Wochentag F(WT)'!$B$7:$J$22,V$9,0),4)</f>
        <v>1.1275999999999999</v>
      </c>
      <c r="W23" s="281">
        <f>ROUND(VLOOKUP(MID($E23,4,3),'Wochentag F(WT)'!$B$7:$J$22,W$9,0),4)</f>
        <v>0.38769999999999999</v>
      </c>
      <c r="X23" s="282">
        <f t="shared" si="2"/>
        <v>0.46379999999999999</v>
      </c>
      <c r="Y23" s="303"/>
      <c r="Z23" s="212"/>
    </row>
    <row r="24" spans="2:26" s="143" customFormat="1">
      <c r="B24" s="144">
        <v>12</v>
      </c>
      <c r="C24" s="145" t="str">
        <f t="shared" si="0"/>
        <v>Weimar</v>
      </c>
      <c r="D24" s="62" t="s">
        <v>248</v>
      </c>
      <c r="E24" s="165" t="s">
        <v>4</v>
      </c>
      <c r="F24" s="307" t="str">
        <f>VLOOKUP($E24,'BDEW-Standard'!$B$3:$M$94,F$9,0)</f>
        <v>HK3</v>
      </c>
      <c r="H24" s="278">
        <f>ROUND(VLOOKUP($E24,'BDEW-Standard'!$B$3:$M$94,H$9,0),7)</f>
        <v>0.40409319999999999</v>
      </c>
      <c r="I24" s="278">
        <f>ROUND(VLOOKUP($E24,'BDEW-Standard'!$B$3:$M$94,I$9,0),7)</f>
        <v>-24.439296800000001</v>
      </c>
      <c r="J24" s="278">
        <f>ROUND(VLOOKUP($E24,'BDEW-Standard'!$B$3:$M$94,J$9,0),7)</f>
        <v>6.5718174999999999</v>
      </c>
      <c r="K24" s="278">
        <f>ROUND(VLOOKUP($E24,'BDEW-Standard'!$B$3:$M$94,K$9,0),7)</f>
        <v>0.71077100000000004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1.0561214000512988</v>
      </c>
      <c r="R24" s="281">
        <f>ROUND(VLOOKUP(MID($E24,4,3),'Wochentag F(WT)'!$B$7:$J$22,R$9,0),4)</f>
        <v>1</v>
      </c>
      <c r="S24" s="281">
        <f>ROUND(VLOOKUP(MID($E24,4,3),'Wochentag F(WT)'!$B$7:$J$22,S$9,0),4)</f>
        <v>1</v>
      </c>
      <c r="T24" s="281">
        <f>ROUND(VLOOKUP(MID($E24,4,3),'Wochentag F(WT)'!$B$7:$J$22,T$9,0),4)</f>
        <v>1</v>
      </c>
      <c r="U24" s="281">
        <f>ROUND(VLOOKUP(MID($E24,4,3),'Wochentag F(WT)'!$B$7:$J$22,U$9,0),4)</f>
        <v>1</v>
      </c>
      <c r="V24" s="281">
        <f>ROUND(VLOOKUP(MID($E24,4,3),'Wochentag F(WT)'!$B$7:$J$22,V$9,0),4)</f>
        <v>1</v>
      </c>
      <c r="W24" s="281">
        <f>ROUND(VLOOKUP(MID($E24,4,3),'Wochentag F(WT)'!$B$7:$J$22,W$9,0),4)</f>
        <v>1</v>
      </c>
      <c r="X24" s="282">
        <f t="shared" si="2"/>
        <v>1</v>
      </c>
      <c r="Y24" s="303"/>
      <c r="Z24" s="212"/>
    </row>
    <row r="25" spans="2:26" s="143" customFormat="1">
      <c r="B25" s="144">
        <v>13</v>
      </c>
      <c r="C25" s="145" t="str">
        <f t="shared" si="0"/>
        <v>Weimar</v>
      </c>
      <c r="D25" s="62" t="s">
        <v>248</v>
      </c>
      <c r="E25" s="165" t="s">
        <v>59</v>
      </c>
      <c r="F25" s="307" t="str">
        <f>VLOOKUP($E25,'BDEW-Standard'!$B$3:$M$158,F$9,0)</f>
        <v>T14</v>
      </c>
      <c r="G25" s="8"/>
      <c r="H25" s="278">
        <f>ROUND(VLOOKUP($E25,'BDEW-Standard'!$B$3:$M$158,H$9,0),7)</f>
        <v>3.159294</v>
      </c>
      <c r="I25" s="278">
        <f>ROUND(VLOOKUP($E25,'BDEW-Standard'!$B$3:$M$158,I$9,0),7)</f>
        <v>-37.406886</v>
      </c>
      <c r="J25" s="278">
        <f>ROUND(VLOOKUP($E25,'BDEW-Standard'!$B$3:$M$158,J$9,0),7)</f>
        <v>6.1418926000000003</v>
      </c>
      <c r="K25" s="278">
        <f>ROUND(VLOOKUP($E25,'BDEW-Standard'!$B$3:$M$158,K$9,0),7)</f>
        <v>9.3729099999999996E-2</v>
      </c>
      <c r="L25" s="279">
        <v>40</v>
      </c>
      <c r="M25" s="278">
        <f>ROUND(VLOOKUP($E25,'BDEW-Standard'!$B$3:$M$158,M$9,0),7)</f>
        <v>0</v>
      </c>
      <c r="N25" s="278">
        <f>ROUND(VLOOKUP($E25,'BDEW-Standard'!$B$3:$M$158,N$9,0),7)</f>
        <v>0</v>
      </c>
      <c r="O25" s="278">
        <f>ROUND(VLOOKUP($E25,'BDEW-Standard'!$B$3:$M$158,O$9,0),7)</f>
        <v>0</v>
      </c>
      <c r="P25" s="278">
        <f>ROUND(VLOOKUP($E25,'BDEW-Standard'!$B$3:$M$158,P$9,0),7)</f>
        <v>0</v>
      </c>
      <c r="Q25" s="280">
        <f>($H25/(1+($I25/($Q$9-$L25))^$J25)+$K25)+MAX($M25*$Q$9+$N25,$O25*$Q$9+$P25)</f>
        <v>0.96918650224521152</v>
      </c>
      <c r="R25" s="281">
        <f>ROUND(VLOOKUP(MID($E25,4,3),'Wochentag F(WT)'!$B$7:$J$22,R$9,0),4)</f>
        <v>1</v>
      </c>
      <c r="S25" s="281">
        <f>ROUND(VLOOKUP(MID($E25,4,3),'Wochentag F(WT)'!$B$7:$J$22,S$9,0),4)</f>
        <v>1</v>
      </c>
      <c r="T25" s="281">
        <f>ROUND(VLOOKUP(MID($E25,4,3),'Wochentag F(WT)'!$B$7:$J$22,T$9,0),4)</f>
        <v>1</v>
      </c>
      <c r="U25" s="281">
        <f>ROUND(VLOOKUP(MID($E25,4,3),'Wochentag F(WT)'!$B$7:$J$22,U$9,0),4)</f>
        <v>1</v>
      </c>
      <c r="V25" s="281">
        <f>ROUND(VLOOKUP(MID($E25,4,3),'Wochentag F(WT)'!$B$7:$J$22,V$9,0),4)</f>
        <v>1</v>
      </c>
      <c r="W25" s="281">
        <f>ROUND(VLOOKUP(MID($E25,4,3),'Wochentag F(WT)'!$B$7:$J$22,W$9,0),4)</f>
        <v>1</v>
      </c>
      <c r="X25" s="282">
        <f>7-SUM(R25:W25)</f>
        <v>1</v>
      </c>
      <c r="Y25" s="303"/>
      <c r="Z25" s="212"/>
    </row>
    <row r="26" spans="2:26" s="143" customFormat="1">
      <c r="B26" s="144">
        <v>14</v>
      </c>
      <c r="C26" s="145" t="str">
        <f t="shared" si="0"/>
        <v>Weimar</v>
      </c>
      <c r="D26" s="62" t="s">
        <v>248</v>
      </c>
      <c r="E26" s="165" t="s">
        <v>69</v>
      </c>
      <c r="F26" s="307" t="str">
        <f>VLOOKUP($E26,'BDEW-Standard'!$B$3:$M$158,F$9,0)</f>
        <v>T24</v>
      </c>
      <c r="G26" s="8"/>
      <c r="H26" s="278">
        <f>ROUND(VLOOKUP($E26,'BDEW-Standard'!$B$3:$M$158,H$9,0),7)</f>
        <v>2.4859160999999999</v>
      </c>
      <c r="I26" s="278">
        <f>ROUND(VLOOKUP($E26,'BDEW-Standard'!$B$3:$M$158,I$9,0),7)</f>
        <v>-35.043597800000001</v>
      </c>
      <c r="J26" s="278">
        <f>ROUND(VLOOKUP($E26,'BDEW-Standard'!$B$3:$M$158,J$9,0),7)</f>
        <v>6.2818214000000001</v>
      </c>
      <c r="K26" s="278">
        <f>ROUND(VLOOKUP($E26,'BDEW-Standard'!$B$3:$M$158,K$9,0),7)</f>
        <v>0.13042619999999999</v>
      </c>
      <c r="L26" s="279">
        <v>40</v>
      </c>
      <c r="M26" s="278">
        <f>ROUND(VLOOKUP($E26,'BDEW-Standard'!$B$3:$M$158,M$9,0),7)</f>
        <v>0</v>
      </c>
      <c r="N26" s="278">
        <f>ROUND(VLOOKUP($E26,'BDEW-Standard'!$B$3:$M$158,N$9,0),7)</f>
        <v>0</v>
      </c>
      <c r="O26" s="278">
        <f>ROUND(VLOOKUP($E26,'BDEW-Standard'!$B$3:$M$158,O$9,0),7)</f>
        <v>0</v>
      </c>
      <c r="P26" s="278">
        <f>ROUND(VLOOKUP($E26,'BDEW-Standard'!$B$3:$M$158,P$9,0),7)</f>
        <v>0</v>
      </c>
      <c r="Q26" s="280">
        <f>($H26/(1+($I26/($Q$9-$L26))^$J26)+$K26)+MAX($M26*$Q$9+$N26,$O26*$Q$9+$P26)</f>
        <v>1.0280018127680663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>7-SUM(R26:W26)</f>
        <v>1</v>
      </c>
      <c r="Y26" s="303"/>
      <c r="Z26" s="212"/>
    </row>
    <row r="27" spans="2:26" s="143" customFormat="1">
      <c r="B27" s="144"/>
      <c r="C27" s="145"/>
      <c r="D27" s="62"/>
      <c r="E27" s="165"/>
      <c r="F27" s="307"/>
      <c r="H27" s="278"/>
      <c r="I27" s="278"/>
      <c r="J27" s="278"/>
      <c r="K27" s="278"/>
      <c r="L27" s="279"/>
      <c r="M27" s="278"/>
      <c r="N27" s="278"/>
      <c r="O27" s="278"/>
      <c r="P27" s="278"/>
      <c r="Q27" s="280"/>
      <c r="R27" s="281"/>
      <c r="S27" s="281"/>
      <c r="T27" s="281"/>
      <c r="U27" s="281"/>
      <c r="V27" s="281"/>
      <c r="W27" s="281"/>
      <c r="X27" s="282"/>
      <c r="Y27" s="303"/>
      <c r="Z27" s="212"/>
    </row>
    <row r="28" spans="2:26" s="143" customFormat="1">
      <c r="B28" s="144">
        <v>16</v>
      </c>
      <c r="C28" s="145" t="str">
        <f t="shared" si="0"/>
        <v>Weimar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17</v>
      </c>
      <c r="C29" s="145" t="str">
        <f t="shared" si="0"/>
        <v>Weimar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18</v>
      </c>
      <c r="C30" s="145" t="str">
        <f t="shared" si="0"/>
        <v>Weimar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19</v>
      </c>
      <c r="C31" s="145" t="str">
        <f t="shared" si="0"/>
        <v>Weimar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20</v>
      </c>
      <c r="C32" s="145" t="str">
        <f t="shared" si="0"/>
        <v>Weimar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21</v>
      </c>
      <c r="C33" s="145" t="str">
        <f t="shared" si="0"/>
        <v>Weimar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22</v>
      </c>
      <c r="C34" s="145" t="str">
        <f t="shared" si="0"/>
        <v>Weimar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23</v>
      </c>
      <c r="C35" s="145" t="str">
        <f t="shared" si="0"/>
        <v>Weimar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24</v>
      </c>
      <c r="C36" s="145" t="str">
        <f t="shared" si="0"/>
        <v>Weimar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25</v>
      </c>
      <c r="C37" s="145" t="str">
        <f t="shared" si="0"/>
        <v>Weimar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26</v>
      </c>
      <c r="C38" s="145" t="str">
        <f t="shared" si="0"/>
        <v>Weimar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27</v>
      </c>
      <c r="C39" s="145" t="str">
        <f t="shared" si="0"/>
        <v>Weimar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28</v>
      </c>
      <c r="C40" s="145" t="str">
        <f t="shared" si="0"/>
        <v>Weimar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29</v>
      </c>
      <c r="C41" s="145" t="str">
        <f t="shared" si="0"/>
        <v>Weimar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 s="143" customFormat="1">
      <c r="B42" s="144">
        <v>30</v>
      </c>
      <c r="C42" s="145" t="str">
        <f t="shared" si="0"/>
        <v>Weimar</v>
      </c>
      <c r="D42" s="62"/>
      <c r="E42" s="166"/>
      <c r="F42" s="307"/>
      <c r="H42" s="283"/>
      <c r="I42" s="283"/>
      <c r="J42" s="283"/>
      <c r="K42" s="283"/>
      <c r="L42" s="279"/>
      <c r="M42" s="283"/>
      <c r="N42" s="283"/>
      <c r="O42" s="283"/>
      <c r="P42" s="283"/>
      <c r="Q42" s="284"/>
      <c r="R42" s="285"/>
      <c r="S42" s="285"/>
      <c r="T42" s="285"/>
      <c r="U42" s="285"/>
      <c r="V42" s="285"/>
      <c r="W42" s="285"/>
      <c r="X42" s="286"/>
      <c r="Y42" s="303"/>
    </row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  <row r="60"/>
  </sheetData>
  <conditionalFormatting sqref="F12:F24 H27:Y42 F27:F42 H12:Y24 Y25">
    <cfRule type="expression" dxfId="29" priority="33">
      <formula>ISERROR(F12)</formula>
    </cfRule>
  </conditionalFormatting>
  <conditionalFormatting sqref="E13:F24 Y13:Y25 Y27:Y42 E27:F42">
    <cfRule type="duplicateValues" dxfId="28" priority="55"/>
  </conditionalFormatting>
  <conditionalFormatting sqref="E26">
    <cfRule type="duplicateValues" dxfId="27" priority="20"/>
  </conditionalFormatting>
  <conditionalFormatting sqref="F26">
    <cfRule type="expression" dxfId="26" priority="18">
      <formula>ISERROR(F26)</formula>
    </cfRule>
  </conditionalFormatting>
  <conditionalFormatting sqref="F26">
    <cfRule type="duplicateValues" dxfId="25" priority="19"/>
  </conditionalFormatting>
  <conditionalFormatting sqref="H26">
    <cfRule type="expression" dxfId="24" priority="17">
      <formula>ISERROR(H26)</formula>
    </cfRule>
  </conditionalFormatting>
  <conditionalFormatting sqref="I26:K26 M26:Q26">
    <cfRule type="expression" dxfId="23" priority="16">
      <formula>ISERROR(I26)</formula>
    </cfRule>
  </conditionalFormatting>
  <conditionalFormatting sqref="X26">
    <cfRule type="expression" dxfId="22" priority="15">
      <formula>ISERROR(X26)</formula>
    </cfRule>
  </conditionalFormatting>
  <conditionalFormatting sqref="Y26">
    <cfRule type="expression" dxfId="21" priority="13">
      <formula>ISERROR(Y26)</formula>
    </cfRule>
  </conditionalFormatting>
  <conditionalFormatting sqref="Y26">
    <cfRule type="duplicateValues" dxfId="20" priority="14"/>
  </conditionalFormatting>
  <conditionalFormatting sqref="I25:K25 M25:P25">
    <cfRule type="expression" dxfId="19" priority="9">
      <formula>ISERROR(I25)</formula>
    </cfRule>
  </conditionalFormatting>
  <conditionalFormatting sqref="Q25">
    <cfRule type="expression" dxfId="18" priority="8">
      <formula>ISERROR(Q25)</formula>
    </cfRule>
  </conditionalFormatting>
  <conditionalFormatting sqref="R25:W26">
    <cfRule type="expression" dxfId="17" priority="7">
      <formula>ISERROR(R25)</formula>
    </cfRule>
  </conditionalFormatting>
  <conditionalFormatting sqref="L25:L26">
    <cfRule type="expression" dxfId="16" priority="6">
      <formula>ISERROR(L25)</formula>
    </cfRule>
  </conditionalFormatting>
  <conditionalFormatting sqref="H25">
    <cfRule type="expression" dxfId="15" priority="5">
      <formula>ISERROR(H25)</formula>
    </cfRule>
  </conditionalFormatting>
  <conditionalFormatting sqref="F25">
    <cfRule type="expression" dxfId="14" priority="3">
      <formula>ISERROR(F25)</formula>
    </cfRule>
  </conditionalFormatting>
  <conditionalFormatting sqref="F25">
    <cfRule type="duplicateValues" dxfId="13" priority="4"/>
  </conditionalFormatting>
  <conditionalFormatting sqref="E25">
    <cfRule type="duplicateValues" dxfId="12" priority="2"/>
  </conditionalFormatting>
  <conditionalFormatting sqref="X25">
    <cfRule type="expression" dxfId="11" priority="1">
      <formula>ISERROR(X25)</formula>
    </cfRule>
  </conditionalFormatting>
  <dataValidations count="2">
    <dataValidation type="list" errorStyle="warning" allowBlank="1" showInputMessage="1" showErrorMessage="1" errorTitle="Profil-Art" error="Bitte Profilwahl gemäß Auswahlfeld" sqref="D13:D25 D27:D4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2 D26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" id="{7369E240-CB0D-41B9-A4A5-C96FFF904715}">
            <xm:f>D12&lt;&gt;IF(ISERROR(VLOOKUP($E12,'BDEW-Standard'!$B$3:$M$158,1,0)),"Ind.-Koef.","BDEW")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D12:D25 D27:D42</xm:sqref>
        </x14:conditionalFormatting>
        <x14:conditionalFormatting xmlns:xm="http://schemas.microsoft.com/office/excel/2006/main">
          <x14:cfRule type="cellIs" priority="26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5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Y12:Y25 Y27:Y42</xm:sqref>
        </x14:conditionalFormatting>
        <x14:conditionalFormatting xmlns:xm="http://schemas.microsoft.com/office/excel/2006/main">
          <x14:cfRule type="expression" priority="21" id="{85349AAD-F877-4AA4-B7C5-EAFC380B20B3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2" id="{7E3A3C7A-6F92-4210-A77B-DFE2766E1247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E12 E25:E26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E12:E42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E27 E13:E24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C27" sqref="C2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4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.2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ENWG Energienetze Weimar GmbH &amp; Co. KG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Weimar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361">
        <f>Netzbetreiber!$D$11</f>
        <v>9870078300000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6" t="s">
        <v>455</v>
      </c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71" t="s">
        <v>582</v>
      </c>
      <c r="C10" s="372"/>
      <c r="D10" s="94">
        <v>2</v>
      </c>
      <c r="E10" s="95" t="str">
        <f>IF(ISERROR(HLOOKUP(E$11,$M$9:$AD$35,$D10,0)),"",HLOOKUP(E$11,$M$9:$AD$35,$D10,0))</f>
        <v/>
      </c>
      <c r="F10" s="369" t="s">
        <v>395</v>
      </c>
      <c r="G10" s="369"/>
      <c r="H10" s="369"/>
      <c r="I10" s="369"/>
      <c r="J10" s="369"/>
      <c r="K10" s="369"/>
      <c r="L10" s="370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650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648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649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73" t="s">
        <v>249</v>
      </c>
      <c r="B3" s="238" t="s">
        <v>86</v>
      </c>
      <c r="C3" s="239"/>
      <c r="D3" s="375" t="s">
        <v>454</v>
      </c>
      <c r="E3" s="376"/>
      <c r="F3" s="376"/>
      <c r="G3" s="376"/>
      <c r="H3" s="376"/>
      <c r="I3" s="376"/>
      <c r="J3" s="377"/>
      <c r="K3" s="240"/>
      <c r="L3" s="240"/>
      <c r="M3" s="240"/>
      <c r="N3" s="240"/>
      <c r="O3" s="241"/>
      <c r="P3" s="240"/>
    </row>
    <row r="4" spans="1:16" ht="20.100000000000001" customHeight="1">
      <c r="A4" s="374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7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.2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.2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.2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.2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.2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.2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.2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.2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.2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.2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b9f00-f4e5-4488-840e-6084e0f110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Bock Katja</cp:lastModifiedBy>
  <cp:lastPrinted>2015-03-20T22:59:10Z</cp:lastPrinted>
  <dcterms:created xsi:type="dcterms:W3CDTF">2015-01-15T05:25:41Z</dcterms:created>
  <dcterms:modified xsi:type="dcterms:W3CDTF">2024-03-15T11:01:35Z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